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 tabRatio="878" firstSheet="1" activeTab="5"/>
  </bookViews>
  <sheets>
    <sheet name="ABO-known gene freq" sheetId="3" r:id="rId1"/>
    <sheet name="Gene-Marker" sheetId="4" r:id="rId2"/>
    <sheet name="HWE" sheetId="5" r:id="rId3"/>
    <sheet name="ABO-unkown gene freq" sheetId="1" r:id="rId4"/>
    <sheet name="ContingencyTable" sheetId="6" r:id="rId5"/>
    <sheet name="LSE" sheetId="2" r:id="rId6"/>
  </sheets>
  <calcPr calcId="145621"/>
</workbook>
</file>

<file path=xl/calcChain.xml><?xml version="1.0" encoding="utf-8"?>
<calcChain xmlns="http://schemas.openxmlformats.org/spreadsheetml/2006/main">
  <c r="B21" i="6" l="1"/>
  <c r="B20" i="6"/>
  <c r="B17" i="6"/>
  <c r="C17" i="6"/>
  <c r="D17" i="6"/>
  <c r="B18" i="6"/>
  <c r="C18" i="6"/>
  <c r="D18" i="6"/>
  <c r="B19" i="6"/>
  <c r="C19" i="6"/>
  <c r="D19" i="6"/>
  <c r="C16" i="6"/>
  <c r="D16" i="6"/>
  <c r="B16" i="6"/>
  <c r="B11" i="6"/>
  <c r="C11" i="6"/>
  <c r="D11" i="6"/>
  <c r="B12" i="6"/>
  <c r="C12" i="6"/>
  <c r="D12" i="6"/>
  <c r="B13" i="6"/>
  <c r="C13" i="6"/>
  <c r="D13" i="6"/>
  <c r="C10" i="6"/>
  <c r="D10" i="6"/>
  <c r="B10" i="6"/>
  <c r="C7" i="6"/>
  <c r="D7" i="6"/>
  <c r="B7" i="6"/>
  <c r="F3" i="6"/>
  <c r="F4" i="6"/>
  <c r="F5" i="6"/>
  <c r="F2" i="6"/>
  <c r="E3" i="6"/>
  <c r="E4" i="6"/>
  <c r="E5" i="6"/>
  <c r="E2" i="6"/>
  <c r="C6" i="6"/>
  <c r="D6" i="6"/>
  <c r="E6" i="6"/>
  <c r="B6" i="6"/>
  <c r="N3" i="5" l="1"/>
  <c r="M3" i="5"/>
  <c r="L3" i="5"/>
  <c r="K3" i="5"/>
  <c r="R3" i="5"/>
  <c r="Q3" i="5"/>
  <c r="O3" i="5"/>
  <c r="P3" i="5"/>
  <c r="J3" i="5"/>
  <c r="I3" i="5"/>
  <c r="H3" i="5"/>
  <c r="F3" i="5"/>
  <c r="E3" i="5"/>
  <c r="G3" i="5"/>
  <c r="B25" i="4"/>
  <c r="C24" i="4"/>
  <c r="D24" i="4"/>
  <c r="E24" i="4"/>
  <c r="F24" i="4"/>
  <c r="G24" i="4"/>
  <c r="B24" i="4"/>
  <c r="H23" i="4"/>
  <c r="G23" i="4"/>
  <c r="C23" i="4"/>
  <c r="D23" i="4"/>
  <c r="E23" i="4"/>
  <c r="F23" i="4"/>
  <c r="B23" i="4"/>
  <c r="H22" i="4"/>
  <c r="H24" i="4"/>
  <c r="H21" i="4"/>
  <c r="G22" i="4"/>
  <c r="F22" i="4"/>
  <c r="E22" i="4"/>
  <c r="D22" i="4"/>
  <c r="C22" i="4"/>
  <c r="B22" i="4"/>
  <c r="E13" i="4"/>
  <c r="E7" i="4"/>
  <c r="D16" i="4"/>
  <c r="D15" i="4"/>
  <c r="D13" i="4"/>
  <c r="C15" i="4"/>
  <c r="C14" i="4"/>
  <c r="C13" i="4"/>
  <c r="B16" i="4"/>
  <c r="B15" i="4"/>
  <c r="B14" i="4"/>
  <c r="B13" i="4"/>
  <c r="C9" i="4"/>
  <c r="D9" i="4"/>
  <c r="D8" i="4"/>
  <c r="D7" i="4"/>
  <c r="C8" i="4"/>
  <c r="C7" i="4"/>
  <c r="B9" i="4"/>
  <c r="B8" i="4"/>
  <c r="B7" i="4"/>
  <c r="F2" i="3"/>
  <c r="E3" i="3"/>
  <c r="E4" i="3"/>
  <c r="E5" i="3"/>
  <c r="E2" i="3"/>
  <c r="D6" i="3"/>
  <c r="E6" i="3"/>
  <c r="D3" i="3"/>
  <c r="D2" i="3"/>
  <c r="D4" i="3"/>
  <c r="D5" i="3"/>
  <c r="C6" i="3"/>
  <c r="C5" i="3"/>
  <c r="C4" i="3"/>
  <c r="C3" i="3"/>
  <c r="C2" i="3"/>
  <c r="B6" i="3"/>
  <c r="B27" i="1"/>
  <c r="B29" i="1"/>
  <c r="B28" i="1"/>
  <c r="D14" i="4" l="1"/>
  <c r="C16" i="4" l="1"/>
  <c r="A24" i="2" l="1" a="1"/>
  <c r="F24" i="2" s="1"/>
  <c r="C28" i="2" l="1"/>
  <c r="B27" i="2"/>
  <c r="A26" i="2"/>
  <c r="G24" i="2"/>
  <c r="A28" i="2"/>
  <c r="G26" i="2"/>
  <c r="F25" i="2"/>
  <c r="E24" i="2"/>
  <c r="G27" i="2"/>
  <c r="F26" i="2"/>
  <c r="E25" i="2"/>
  <c r="D24" i="2"/>
  <c r="G28" i="2"/>
  <c r="F27" i="2"/>
  <c r="E26" i="2"/>
  <c r="D25" i="2"/>
  <c r="C24" i="2"/>
  <c r="F28" i="2"/>
  <c r="E27" i="2"/>
  <c r="D26" i="2"/>
  <c r="C25" i="2"/>
  <c r="B24" i="2"/>
  <c r="E28" i="2"/>
  <c r="D27" i="2"/>
  <c r="C26" i="2"/>
  <c r="B25" i="2"/>
  <c r="A24" i="2"/>
  <c r="D28" i="2"/>
  <c r="C27" i="2"/>
  <c r="B26" i="2"/>
  <c r="A25" i="2"/>
  <c r="B28" i="2"/>
  <c r="A27" i="2"/>
  <c r="G25" i="2"/>
  <c r="G6" i="1"/>
  <c r="H6" i="1"/>
  <c r="I6" i="1"/>
  <c r="G20" i="1"/>
  <c r="H20" i="1"/>
  <c r="I20" i="1"/>
  <c r="G21" i="1"/>
  <c r="H21" i="1"/>
  <c r="I21" i="1"/>
  <c r="D6" i="1"/>
  <c r="E6" i="1"/>
  <c r="F6" i="1"/>
  <c r="D20" i="1"/>
  <c r="E20" i="1"/>
  <c r="F20" i="1"/>
  <c r="D21" i="1"/>
  <c r="E21" i="1"/>
  <c r="F21" i="1"/>
  <c r="C21" i="1"/>
  <c r="C20" i="1"/>
  <c r="C6" i="1"/>
  <c r="B21" i="1"/>
  <c r="B20" i="1"/>
  <c r="B15" i="1"/>
  <c r="B14" i="1"/>
  <c r="B13" i="1"/>
  <c r="B19" i="1" s="1"/>
  <c r="B12" i="1"/>
  <c r="B18" i="1" s="1"/>
  <c r="B23" i="1" s="1"/>
  <c r="C8" i="1" s="1"/>
  <c r="B11" i="1"/>
  <c r="B17" i="1" s="1"/>
  <c r="B24" i="1" s="1"/>
  <c r="C9" i="1" s="1"/>
  <c r="C15" i="1" s="1"/>
  <c r="B10" i="1"/>
  <c r="B6" i="1"/>
  <c r="C13" i="1" l="1"/>
  <c r="C12" i="1"/>
  <c r="C18" i="1" s="1"/>
  <c r="B16" i="1"/>
  <c r="B22" i="1" s="1"/>
  <c r="C7" i="1" s="1"/>
  <c r="C14" i="1" l="1"/>
  <c r="C11" i="1"/>
  <c r="C10" i="1"/>
  <c r="C16" i="1" s="1"/>
  <c r="C19" i="1"/>
  <c r="C23" i="1" s="1"/>
  <c r="D8" i="1" s="1"/>
  <c r="D12" i="1" l="1"/>
  <c r="C17" i="1"/>
  <c r="C24" i="1" s="1"/>
  <c r="D9" i="1" s="1"/>
  <c r="D15" i="1" s="1"/>
  <c r="C22" i="1"/>
  <c r="D7" i="1" s="1"/>
  <c r="D14" i="1"/>
  <c r="D10" i="1"/>
  <c r="D11" i="1"/>
  <c r="D17" i="1" s="1"/>
  <c r="D13" i="1" l="1"/>
  <c r="D19" i="1" s="1"/>
  <c r="D24" i="1" s="1"/>
  <c r="E9" i="1" s="1"/>
  <c r="E15" i="1" s="1"/>
  <c r="D16" i="1"/>
  <c r="D22" i="1"/>
  <c r="D18" i="1" l="1"/>
  <c r="D23" i="1" s="1"/>
  <c r="E8" i="1" s="1"/>
  <c r="E7" i="1"/>
  <c r="E12" i="1" l="1"/>
  <c r="E13" i="1"/>
  <c r="E19" i="1" s="1"/>
  <c r="E11" i="1"/>
  <c r="E14" i="1"/>
  <c r="E10" i="1"/>
  <c r="E16" i="1" s="1"/>
  <c r="E18" i="1" l="1"/>
  <c r="E23" i="1" s="1"/>
  <c r="F8" i="1" s="1"/>
  <c r="F12" i="1" s="1"/>
  <c r="E17" i="1"/>
  <c r="E24" i="1" s="1"/>
  <c r="F9" i="1" s="1"/>
  <c r="F15" i="1" l="1"/>
  <c r="F13" i="1"/>
  <c r="E22" i="1"/>
  <c r="F7" i="1" l="1"/>
  <c r="F19" i="1"/>
  <c r="F18" i="1"/>
  <c r="F23" i="1" s="1"/>
  <c r="G8" i="1" s="1"/>
  <c r="G12" i="1" l="1"/>
  <c r="F14" i="1"/>
  <c r="F10" i="1"/>
  <c r="F11" i="1"/>
  <c r="F17" i="1" s="1"/>
  <c r="F24" i="1" s="1"/>
  <c r="G9" i="1" s="1"/>
  <c r="G15" i="1" s="1"/>
  <c r="F16" i="1" l="1"/>
  <c r="F22" i="1"/>
  <c r="G13" i="1"/>
  <c r="G19" i="1" s="1"/>
  <c r="G18" i="1"/>
  <c r="G23" i="1" s="1"/>
  <c r="H8" i="1" s="1"/>
  <c r="H12" i="1" l="1"/>
  <c r="G7" i="1"/>
  <c r="G14" i="1" l="1"/>
  <c r="G10" i="1"/>
  <c r="G11" i="1"/>
  <c r="G17" i="1" l="1"/>
  <c r="G24" i="1" s="1"/>
  <c r="H9" i="1" s="1"/>
  <c r="G16" i="1"/>
  <c r="H15" i="1"/>
  <c r="H13" i="1"/>
  <c r="G22" i="1"/>
  <c r="H7" i="1" l="1"/>
  <c r="H19" i="1"/>
  <c r="H18" i="1"/>
  <c r="H23" i="1" s="1"/>
  <c r="I8" i="1" s="1"/>
  <c r="I12" i="1" l="1"/>
  <c r="H11" i="1"/>
  <c r="H14" i="1"/>
  <c r="H10" i="1"/>
  <c r="H16" i="1" l="1"/>
  <c r="H17" i="1"/>
  <c r="H24" i="1" s="1"/>
  <c r="I9" i="1" s="1"/>
  <c r="I15" i="1" l="1"/>
  <c r="J5" i="1" s="1"/>
  <c r="K5" i="1" s="1"/>
  <c r="I13" i="1"/>
  <c r="H22" i="1"/>
  <c r="I7" i="1" l="1"/>
  <c r="I19" i="1"/>
  <c r="J3" i="1"/>
  <c r="K3" i="1" s="1"/>
  <c r="I18" i="1"/>
  <c r="I23" i="1" s="1"/>
  <c r="I11" i="1" l="1"/>
  <c r="I14" i="1"/>
  <c r="J4" i="1" s="1"/>
  <c r="K4" i="1" s="1"/>
  <c r="I10" i="1"/>
  <c r="I16" i="1" s="1"/>
  <c r="J2" i="1" l="1"/>
  <c r="K2" i="1" s="1"/>
  <c r="L2" i="1" s="1"/>
  <c r="M2" i="1" s="1"/>
  <c r="I17" i="1"/>
  <c r="I24" i="1" s="1"/>
  <c r="I22" i="1" l="1"/>
</calcChain>
</file>

<file path=xl/sharedStrings.xml><?xml version="1.0" encoding="utf-8"?>
<sst xmlns="http://schemas.openxmlformats.org/spreadsheetml/2006/main" count="179" uniqueCount="111">
  <si>
    <t>AB</t>
    <phoneticPr fontId="1" type="noConversion"/>
  </si>
  <si>
    <t>A</t>
    <phoneticPr fontId="1" type="noConversion"/>
  </si>
  <si>
    <t>B</t>
    <phoneticPr fontId="1" type="noConversion"/>
  </si>
  <si>
    <t>O</t>
    <phoneticPr fontId="1" type="noConversion"/>
  </si>
  <si>
    <t>n</t>
    <phoneticPr fontId="1" type="noConversion"/>
  </si>
  <si>
    <t>Exp.</t>
    <phoneticPr fontId="1" type="noConversion"/>
  </si>
  <si>
    <t>Obs.</t>
    <phoneticPr fontId="1" type="noConversion"/>
  </si>
  <si>
    <r>
      <rPr>
        <sz val="11"/>
        <color theme="1"/>
        <rFont val="Times New Roman"/>
        <family val="1"/>
      </rPr>
      <t>χ</t>
    </r>
    <r>
      <rPr>
        <vertAlign val="superscript"/>
        <sz val="11"/>
        <color theme="1"/>
        <rFont val="宋体"/>
        <family val="3"/>
        <charset val="134"/>
      </rPr>
      <t>2</t>
    </r>
    <phoneticPr fontId="1" type="noConversion"/>
  </si>
  <si>
    <t>P (df=1)</t>
    <phoneticPr fontId="1" type="noConversion"/>
  </si>
  <si>
    <t>p(A)</t>
    <phoneticPr fontId="1" type="noConversion"/>
  </si>
  <si>
    <t>p(B)</t>
    <phoneticPr fontId="1" type="noConversion"/>
  </si>
  <si>
    <t>p(O)</t>
    <phoneticPr fontId="1" type="noConversion"/>
  </si>
  <si>
    <t>p(AA)</t>
    <phoneticPr fontId="1" type="noConversion"/>
  </si>
  <si>
    <t>p(AO)</t>
    <phoneticPr fontId="1" type="noConversion"/>
  </si>
  <si>
    <t>p(BB)</t>
    <phoneticPr fontId="1" type="noConversion"/>
  </si>
  <si>
    <t>p(BO)</t>
    <phoneticPr fontId="1" type="noConversion"/>
  </si>
  <si>
    <t>p(AB)</t>
    <phoneticPr fontId="1" type="noConversion"/>
  </si>
  <si>
    <t>p(OO)</t>
    <phoneticPr fontId="1" type="noConversion"/>
  </si>
  <si>
    <t>n(A: AA)</t>
    <phoneticPr fontId="1" type="noConversion"/>
  </si>
  <si>
    <t>n(A: AO)</t>
    <phoneticPr fontId="1" type="noConversion"/>
  </si>
  <si>
    <t>n(B: BB)</t>
    <phoneticPr fontId="1" type="noConversion"/>
  </si>
  <si>
    <t>n(B: BO)</t>
    <phoneticPr fontId="1" type="noConversion"/>
  </si>
  <si>
    <t>n(AB: AB)</t>
    <phoneticPr fontId="1" type="noConversion"/>
  </si>
  <si>
    <t>n(O: OO)</t>
    <phoneticPr fontId="1" type="noConversion"/>
  </si>
  <si>
    <t>GNP Deflator</t>
  </si>
  <si>
    <t>GNP</t>
  </si>
  <si>
    <t>Unemployed</t>
  </si>
  <si>
    <t>Armed Forces</t>
  </si>
  <si>
    <t>Population</t>
  </si>
  <si>
    <t>Year</t>
  </si>
  <si>
    <t>Employed</t>
  </si>
  <si>
    <t>Y</t>
    <phoneticPr fontId="1" type="noConversion"/>
  </si>
  <si>
    <t>X1</t>
    <phoneticPr fontId="1" type="noConversion"/>
  </si>
  <si>
    <t>X2</t>
  </si>
  <si>
    <t>X3</t>
  </si>
  <si>
    <t>X4</t>
  </si>
  <si>
    <t>X5</t>
  </si>
  <si>
    <t>X6</t>
  </si>
  <si>
    <t>b6</t>
    <phoneticPr fontId="1" type="noConversion"/>
  </si>
  <si>
    <t>b5</t>
    <phoneticPr fontId="1" type="noConversion"/>
  </si>
  <si>
    <t>b4</t>
    <phoneticPr fontId="1" type="noConversion"/>
  </si>
  <si>
    <t>b3</t>
    <phoneticPr fontId="1" type="noConversion"/>
  </si>
  <si>
    <t>b2</t>
    <phoneticPr fontId="1" type="noConversion"/>
  </si>
  <si>
    <t>b1</t>
    <phoneticPr fontId="1" type="noConversion"/>
  </si>
  <si>
    <t>b</t>
    <phoneticPr fontId="1" type="noConversion"/>
  </si>
  <si>
    <r>
      <t>R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1" type="noConversion"/>
  </si>
  <si>
    <t>SE(b1)</t>
    <phoneticPr fontId="1" type="noConversion"/>
  </si>
  <si>
    <t>SE(b2)</t>
    <phoneticPr fontId="1" type="noConversion"/>
  </si>
  <si>
    <t>SE(b3)</t>
    <phoneticPr fontId="1" type="noConversion"/>
  </si>
  <si>
    <t>SE(b4)</t>
    <phoneticPr fontId="1" type="noConversion"/>
  </si>
  <si>
    <t>SE(b6)</t>
    <phoneticPr fontId="1" type="noConversion"/>
  </si>
  <si>
    <t>SE(b5)</t>
    <phoneticPr fontId="1" type="noConversion"/>
  </si>
  <si>
    <t>SE(Y)</t>
    <phoneticPr fontId="1" type="noConversion"/>
  </si>
  <si>
    <t>F</t>
    <phoneticPr fontId="1" type="noConversion"/>
  </si>
  <si>
    <t>D.F.</t>
    <phoneticPr fontId="1" type="noConversion"/>
  </si>
  <si>
    <t>SS(Reg)</t>
    <phoneticPr fontId="1" type="noConversion"/>
  </si>
  <si>
    <t>SS(Resid)</t>
    <phoneticPr fontId="1" type="noConversion"/>
  </si>
  <si>
    <t>SE(b)</t>
    <phoneticPr fontId="1" type="noConversion"/>
  </si>
  <si>
    <t>Bernstein (1925)</t>
    <phoneticPr fontId="1" type="noConversion"/>
  </si>
  <si>
    <t xml:space="preserve"> </t>
    <phoneticPr fontId="1" type="noConversion"/>
  </si>
  <si>
    <t>p(A)</t>
    <phoneticPr fontId="1" type="noConversion"/>
  </si>
  <si>
    <t>p(B)</t>
    <phoneticPr fontId="1" type="noConversion"/>
  </si>
  <si>
    <t>p(O)</t>
    <phoneticPr fontId="1" type="noConversion"/>
  </si>
  <si>
    <t>Blood type</t>
    <phoneticPr fontId="1" type="noConversion"/>
  </si>
  <si>
    <t>Freq.</t>
    <phoneticPr fontId="1" type="noConversion"/>
  </si>
  <si>
    <t>Obs.</t>
    <phoneticPr fontId="1" type="noConversion"/>
  </si>
  <si>
    <t>Exp.</t>
    <phoneticPr fontId="1" type="noConversion"/>
  </si>
  <si>
    <r>
      <t>(O-E)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scheme val="minor"/>
      </rPr>
      <t>/E</t>
    </r>
    <phoneticPr fontId="1" type="noConversion"/>
  </si>
  <si>
    <t>SUM</t>
    <phoneticPr fontId="1" type="noConversion"/>
  </si>
  <si>
    <t>P</t>
    <phoneticPr fontId="1" type="noConversion"/>
  </si>
  <si>
    <t>F2 population</t>
    <phoneticPr fontId="1" type="noConversion"/>
  </si>
  <si>
    <t>Marker type</t>
    <phoneticPr fontId="1" type="noConversion"/>
  </si>
  <si>
    <t>Sample size</t>
    <phoneticPr fontId="1" type="noConversion"/>
  </si>
  <si>
    <t>Resistant</t>
    <phoneticPr fontId="1" type="noConversion"/>
  </si>
  <si>
    <t>H</t>
    <phoneticPr fontId="1" type="noConversion"/>
  </si>
  <si>
    <t>Susceptible</t>
    <phoneticPr fontId="1" type="noConversion"/>
  </si>
  <si>
    <t>E</t>
    <phoneticPr fontId="1" type="noConversion"/>
  </si>
  <si>
    <t>P</t>
    <phoneticPr fontId="1" type="noConversion"/>
  </si>
  <si>
    <t>Phenotype</t>
    <phoneticPr fontId="1" type="noConversion"/>
  </si>
  <si>
    <t>3:1 fitness test on resistance gene (dominance gene)</t>
    <phoneticPr fontId="1" type="noConversion"/>
  </si>
  <si>
    <t>1:2:1 fitness test on marker (codominance marker)</t>
    <phoneticPr fontId="1" type="noConversion"/>
  </si>
  <si>
    <t>Sum</t>
    <phoneticPr fontId="1" type="noConversion"/>
  </si>
  <si>
    <t>3:6:3:1:2:1 fitness test (no genetic linkage between gene and marker)</t>
    <phoneticPr fontId="1" type="noConversion"/>
  </si>
  <si>
    <t>Freq.</t>
    <phoneticPr fontId="1" type="noConversion"/>
  </si>
  <si>
    <t xml:space="preserve">Exp. </t>
    <phoneticPr fontId="1" type="noConversion"/>
  </si>
  <si>
    <t>Genotype</t>
    <phoneticPr fontId="1" type="noConversion"/>
  </si>
  <si>
    <t>MM</t>
    <phoneticPr fontId="1" type="noConversion"/>
  </si>
  <si>
    <t>NN</t>
    <phoneticPr fontId="1" type="noConversion"/>
  </si>
  <si>
    <t>p(M)</t>
    <phoneticPr fontId="1" type="noConversion"/>
  </si>
  <si>
    <t>p(N)</t>
    <phoneticPr fontId="1" type="noConversion"/>
  </si>
  <si>
    <t>Total</t>
    <phoneticPr fontId="1" type="noConversion"/>
  </si>
  <si>
    <t>Obs</t>
    <phoneticPr fontId="1" type="noConversion"/>
  </si>
  <si>
    <t>Gene freq</t>
    <phoneticPr fontId="1" type="noConversion"/>
  </si>
  <si>
    <t>HWE genotypic freq</t>
    <phoneticPr fontId="1" type="noConversion"/>
  </si>
  <si>
    <t>MN</t>
    <phoneticPr fontId="1" type="noConversion"/>
  </si>
  <si>
    <t>Exp.</t>
    <phoneticPr fontId="1" type="noConversion"/>
  </si>
  <si>
    <t>P</t>
    <phoneticPr fontId="1" type="noConversion"/>
  </si>
  <si>
    <t>Major1</t>
    <phoneticPr fontId="1" type="noConversion"/>
  </si>
  <si>
    <t>Major2</t>
  </si>
  <si>
    <t>Major3</t>
  </si>
  <si>
    <t>Major4</t>
  </si>
  <si>
    <t>Decision1</t>
    <phoneticPr fontId="1" type="noConversion"/>
  </si>
  <si>
    <t>Decision2</t>
  </si>
  <si>
    <t>Decision3</t>
  </si>
  <si>
    <t>Sum</t>
    <phoneticPr fontId="1" type="noConversion"/>
  </si>
  <si>
    <t>PropM</t>
    <phoneticPr fontId="1" type="noConversion"/>
  </si>
  <si>
    <t>PropD</t>
    <phoneticPr fontId="1" type="noConversion"/>
  </si>
  <si>
    <t>OBS</t>
    <phoneticPr fontId="1" type="noConversion"/>
  </si>
  <si>
    <t>EXP</t>
    <phoneticPr fontId="1" type="noConversion"/>
  </si>
  <si>
    <t>Chi-SQ</t>
    <phoneticPr fontId="1" type="noConversion"/>
  </si>
  <si>
    <t>P-Value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</si>
</sst>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宋体"/>
      <family val="2"/>
    </font>
    <font>
      <vertAlign val="superscript"/>
      <sz val="11"/>
      <color theme="1"/>
      <name val="宋体"/>
      <family val="3"/>
      <charset val="134"/>
    </font>
    <font>
      <vertAlign val="superscript"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3" fillId="0" borderId="0" xfId="0" applyFont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E17" sqref="E17"/>
    </sheetView>
  </sheetViews>
  <sheetFormatPr defaultRowHeight="14.4" x14ac:dyDescent="0.25"/>
  <sheetData>
    <row r="1" spans="1:6" ht="16.8" x14ac:dyDescent="0.25">
      <c r="A1" t="s">
        <v>63</v>
      </c>
      <c r="B1" t="s">
        <v>65</v>
      </c>
      <c r="C1" t="s">
        <v>64</v>
      </c>
      <c r="D1" t="s">
        <v>66</v>
      </c>
      <c r="E1" t="s">
        <v>67</v>
      </c>
      <c r="F1" t="s">
        <v>69</v>
      </c>
    </row>
    <row r="2" spans="1:6" x14ac:dyDescent="0.25">
      <c r="A2" t="s">
        <v>1</v>
      </c>
      <c r="B2">
        <v>2162</v>
      </c>
      <c r="C2">
        <f>1/3</f>
        <v>0.33333333333333331</v>
      </c>
      <c r="D2">
        <f>C2*B$6</f>
        <v>2001.3333333333333</v>
      </c>
      <c r="E2">
        <f>(B2-D2)^2/D2</f>
        <v>12.898290028869656</v>
      </c>
      <c r="F2">
        <f>CHIDIST(E6,3)</f>
        <v>1.4300222227161532E-4</v>
      </c>
    </row>
    <row r="3" spans="1:6" x14ac:dyDescent="0.25">
      <c r="A3" t="s">
        <v>2</v>
      </c>
      <c r="B3">
        <v>738</v>
      </c>
      <c r="C3">
        <f>1/8</f>
        <v>0.125</v>
      </c>
      <c r="D3">
        <f>C3*B$6</f>
        <v>750.5</v>
      </c>
      <c r="E3">
        <f t="shared" ref="E3:E5" si="0">(B3-D3)^2/D3</f>
        <v>0.20819453697534976</v>
      </c>
    </row>
    <row r="4" spans="1:6" x14ac:dyDescent="0.25">
      <c r="A4" t="s">
        <v>0</v>
      </c>
      <c r="B4">
        <v>228</v>
      </c>
      <c r="C4">
        <f>1/24</f>
        <v>4.1666666666666664E-2</v>
      </c>
      <c r="D4">
        <f t="shared" ref="D4:D5" si="1">C4*B$6</f>
        <v>250.16666666666666</v>
      </c>
      <c r="E4">
        <f t="shared" si="0"/>
        <v>1.9641350210970447</v>
      </c>
    </row>
    <row r="5" spans="1:6" x14ac:dyDescent="0.25">
      <c r="A5" t="s">
        <v>3</v>
      </c>
      <c r="B5">
        <v>2876</v>
      </c>
      <c r="C5">
        <f>1/2</f>
        <v>0.5</v>
      </c>
      <c r="D5">
        <f t="shared" si="1"/>
        <v>3002</v>
      </c>
      <c r="E5">
        <f t="shared" si="0"/>
        <v>5.2884743504330443</v>
      </c>
    </row>
    <row r="6" spans="1:6" x14ac:dyDescent="0.25">
      <c r="A6" t="s">
        <v>68</v>
      </c>
      <c r="B6">
        <f>SUM(B2:B5)</f>
        <v>6004</v>
      </c>
      <c r="C6">
        <f>SUM(C2:C5)</f>
        <v>1</v>
      </c>
      <c r="D6">
        <f t="shared" ref="D6:E6" si="2">SUM(D2:D5)</f>
        <v>6004</v>
      </c>
      <c r="E6">
        <f t="shared" si="2"/>
        <v>20.359093937375096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F12" sqref="F12"/>
    </sheetView>
  </sheetViews>
  <sheetFormatPr defaultRowHeight="14.4" x14ac:dyDescent="0.25"/>
  <cols>
    <col min="1" max="1" width="15" bestFit="1" customWidth="1"/>
  </cols>
  <sheetData>
    <row r="1" spans="1:7" x14ac:dyDescent="0.25">
      <c r="A1" t="s">
        <v>70</v>
      </c>
      <c r="B1" t="s">
        <v>73</v>
      </c>
      <c r="E1" t="s">
        <v>75</v>
      </c>
    </row>
    <row r="2" spans="1:7" x14ac:dyDescent="0.25">
      <c r="A2" t="s">
        <v>71</v>
      </c>
      <c r="B2" t="s">
        <v>1</v>
      </c>
      <c r="C2" t="s">
        <v>74</v>
      </c>
      <c r="D2" t="s">
        <v>2</v>
      </c>
      <c r="E2" t="s">
        <v>1</v>
      </c>
      <c r="F2" t="s">
        <v>74</v>
      </c>
      <c r="G2" t="s">
        <v>2</v>
      </c>
    </row>
    <row r="3" spans="1:7" x14ac:dyDescent="0.25">
      <c r="A3" t="s">
        <v>72</v>
      </c>
      <c r="B3">
        <v>572</v>
      </c>
      <c r="C3">
        <v>1161</v>
      </c>
      <c r="D3">
        <v>14</v>
      </c>
      <c r="E3">
        <v>3</v>
      </c>
      <c r="F3">
        <v>22</v>
      </c>
      <c r="G3">
        <v>569</v>
      </c>
    </row>
    <row r="5" spans="1:7" x14ac:dyDescent="0.25">
      <c r="A5" t="s">
        <v>79</v>
      </c>
    </row>
    <row r="6" spans="1:7" ht="16.8" x14ac:dyDescent="0.25">
      <c r="A6" t="s">
        <v>78</v>
      </c>
      <c r="B6" t="s">
        <v>3</v>
      </c>
      <c r="C6" t="s">
        <v>76</v>
      </c>
      <c r="D6" t="s">
        <v>67</v>
      </c>
      <c r="E6" t="s">
        <v>77</v>
      </c>
    </row>
    <row r="7" spans="1:7" x14ac:dyDescent="0.25">
      <c r="A7" t="s">
        <v>73</v>
      </c>
      <c r="B7">
        <f>SUM(B3:D3)</f>
        <v>1747</v>
      </c>
      <c r="C7">
        <f>0.75*B9</f>
        <v>1755.75</v>
      </c>
      <c r="D7">
        <f>(B7-C7)^2/C7</f>
        <v>4.3606720774597749E-2</v>
      </c>
      <c r="E7">
        <f>CHIDIST(D9,1)</f>
        <v>0.67620709565598403</v>
      </c>
    </row>
    <row r="8" spans="1:7" x14ac:dyDescent="0.25">
      <c r="A8" t="s">
        <v>75</v>
      </c>
      <c r="B8">
        <f>SUM(E3:G3)</f>
        <v>594</v>
      </c>
      <c r="C8">
        <f>0.25*B9</f>
        <v>585.25</v>
      </c>
      <c r="D8">
        <f>(B8-C8)^2/C8</f>
        <v>0.13082016232379326</v>
      </c>
    </row>
    <row r="9" spans="1:7" x14ac:dyDescent="0.25">
      <c r="A9" t="s">
        <v>81</v>
      </c>
      <c r="B9">
        <f>SUM(B7:B8)</f>
        <v>2341</v>
      </c>
      <c r="C9">
        <f t="shared" ref="C9:D9" si="0">SUM(C7:C8)</f>
        <v>2341</v>
      </c>
      <c r="D9">
        <f t="shared" si="0"/>
        <v>0.17442688309839099</v>
      </c>
    </row>
    <row r="11" spans="1:7" x14ac:dyDescent="0.25">
      <c r="A11" t="s">
        <v>80</v>
      </c>
    </row>
    <row r="12" spans="1:7" ht="16.8" x14ac:dyDescent="0.25">
      <c r="A12" t="s">
        <v>78</v>
      </c>
      <c r="B12" t="s">
        <v>3</v>
      </c>
      <c r="C12" t="s">
        <v>76</v>
      </c>
      <c r="D12" t="s">
        <v>67</v>
      </c>
      <c r="E12" t="s">
        <v>77</v>
      </c>
    </row>
    <row r="13" spans="1:7" x14ac:dyDescent="0.25">
      <c r="A13" t="s">
        <v>1</v>
      </c>
      <c r="B13">
        <f>B3+E3</f>
        <v>575</v>
      </c>
      <c r="C13">
        <f>0.25*B16</f>
        <v>585.25</v>
      </c>
      <c r="D13">
        <f>(B13-C13)^2/C13</f>
        <v>0.17951730029901752</v>
      </c>
      <c r="E13">
        <f>CHIDIST(D16,2)</f>
        <v>0.85143790509236827</v>
      </c>
    </row>
    <row r="14" spans="1:7" x14ac:dyDescent="0.25">
      <c r="A14" t="s">
        <v>74</v>
      </c>
      <c r="B14">
        <f>C3+F3</f>
        <v>1183</v>
      </c>
      <c r="C14">
        <f>0.5*B16</f>
        <v>1170.5</v>
      </c>
      <c r="D14">
        <f>(B14-C14)^2/C14</f>
        <v>0.13348996155489107</v>
      </c>
    </row>
    <row r="15" spans="1:7" x14ac:dyDescent="0.25">
      <c r="A15" t="s">
        <v>2</v>
      </c>
      <c r="B15">
        <f>D3+G3</f>
        <v>583</v>
      </c>
      <c r="C15">
        <f>0.25*B16</f>
        <v>585.25</v>
      </c>
      <c r="D15">
        <f>(B15-C15)^2/C15</f>
        <v>8.6501495087569422E-3</v>
      </c>
    </row>
    <row r="16" spans="1:7" x14ac:dyDescent="0.25">
      <c r="A16" t="s">
        <v>81</v>
      </c>
      <c r="B16">
        <f>SUM(B13:B15)</f>
        <v>2341</v>
      </c>
      <c r="C16">
        <f t="shared" ref="C16" si="1">SUM(C13:C15)</f>
        <v>2341</v>
      </c>
      <c r="D16">
        <f>SUM(D13:D15)</f>
        <v>0.32165741136266551</v>
      </c>
    </row>
    <row r="18" spans="1:8" x14ac:dyDescent="0.25">
      <c r="A18" t="s">
        <v>82</v>
      </c>
    </row>
    <row r="19" spans="1:8" x14ac:dyDescent="0.25">
      <c r="A19" t="s">
        <v>70</v>
      </c>
      <c r="B19" t="s">
        <v>73</v>
      </c>
      <c r="E19" t="s">
        <v>75</v>
      </c>
    </row>
    <row r="20" spans="1:8" x14ac:dyDescent="0.25">
      <c r="A20" t="s">
        <v>71</v>
      </c>
      <c r="B20" t="s">
        <v>1</v>
      </c>
      <c r="C20" t="s">
        <v>74</v>
      </c>
      <c r="D20" t="s">
        <v>2</v>
      </c>
      <c r="E20" t="s">
        <v>1</v>
      </c>
      <c r="F20" t="s">
        <v>74</v>
      </c>
      <c r="G20" t="s">
        <v>2</v>
      </c>
      <c r="H20" t="s">
        <v>81</v>
      </c>
    </row>
    <row r="21" spans="1:8" x14ac:dyDescent="0.25">
      <c r="A21" t="s">
        <v>72</v>
      </c>
      <c r="B21">
        <v>572</v>
      </c>
      <c r="C21">
        <v>1161</v>
      </c>
      <c r="D21">
        <v>14</v>
      </c>
      <c r="E21">
        <v>3</v>
      </c>
      <c r="F21">
        <v>22</v>
      </c>
      <c r="G21">
        <v>569</v>
      </c>
      <c r="H21">
        <f>SUM(B21:G21)</f>
        <v>2341</v>
      </c>
    </row>
    <row r="22" spans="1:8" x14ac:dyDescent="0.25">
      <c r="A22" t="s">
        <v>83</v>
      </c>
      <c r="B22">
        <f>3/16</f>
        <v>0.1875</v>
      </c>
      <c r="C22">
        <f>6/16</f>
        <v>0.375</v>
      </c>
      <c r="D22">
        <f>3/16</f>
        <v>0.1875</v>
      </c>
      <c r="E22">
        <f>1/16</f>
        <v>6.25E-2</v>
      </c>
      <c r="F22">
        <f>2/16</f>
        <v>0.125</v>
      </c>
      <c r="G22">
        <f>1/16</f>
        <v>6.25E-2</v>
      </c>
      <c r="H22">
        <f t="shared" ref="H22:H24" si="2">SUM(B22:G22)</f>
        <v>1</v>
      </c>
    </row>
    <row r="23" spans="1:8" x14ac:dyDescent="0.25">
      <c r="A23" t="s">
        <v>84</v>
      </c>
      <c r="B23">
        <f>B22*$H21</f>
        <v>438.9375</v>
      </c>
      <c r="C23">
        <f t="shared" ref="C23:F23" si="3">C22*$H21</f>
        <v>877.875</v>
      </c>
      <c r="D23">
        <f t="shared" si="3"/>
        <v>438.9375</v>
      </c>
      <c r="E23">
        <f t="shared" si="3"/>
        <v>146.3125</v>
      </c>
      <c r="F23">
        <f t="shared" si="3"/>
        <v>292.625</v>
      </c>
      <c r="G23">
        <f>G22*$H21</f>
        <v>146.3125</v>
      </c>
      <c r="H23">
        <f t="shared" si="2"/>
        <v>2341</v>
      </c>
    </row>
    <row r="24" spans="1:8" ht="16.8" x14ac:dyDescent="0.25">
      <c r="A24" t="s">
        <v>67</v>
      </c>
      <c r="B24">
        <f>(B21-B23)^2/B23</f>
        <v>40.337471522141534</v>
      </c>
      <c r="C24">
        <f t="shared" ref="C24:G24" si="4">(C21-C23)^2/C23</f>
        <v>91.311138402392146</v>
      </c>
      <c r="D24">
        <f t="shared" si="4"/>
        <v>411.38403282073187</v>
      </c>
      <c r="E24">
        <f t="shared" si="4"/>
        <v>140.3740121742845</v>
      </c>
      <c r="F24">
        <f t="shared" si="4"/>
        <v>250.27899401964973</v>
      </c>
      <c r="G24">
        <f t="shared" si="4"/>
        <v>1221.1172842802221</v>
      </c>
      <c r="H24">
        <f t="shared" si="2"/>
        <v>2154.8029332194219</v>
      </c>
    </row>
    <row r="25" spans="1:8" x14ac:dyDescent="0.25">
      <c r="A25" t="s">
        <v>77</v>
      </c>
      <c r="B25">
        <f>CHIDIST(H24,5)</f>
        <v>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"/>
  <sheetViews>
    <sheetView topLeftCell="F1" workbookViewId="0">
      <selection activeCell="L14" sqref="L14"/>
    </sheetView>
  </sheetViews>
  <sheetFormatPr defaultRowHeight="14.4" x14ac:dyDescent="0.25"/>
  <cols>
    <col min="1" max="1" width="12.77734375" bestFit="1" customWidth="1"/>
  </cols>
  <sheetData>
    <row r="1" spans="1:18" ht="16.8" x14ac:dyDescent="0.25">
      <c r="B1" t="s">
        <v>91</v>
      </c>
      <c r="F1" t="s">
        <v>92</v>
      </c>
      <c r="H1" t="s">
        <v>93</v>
      </c>
      <c r="K1" t="s">
        <v>95</v>
      </c>
      <c r="N1" t="s">
        <v>67</v>
      </c>
    </row>
    <row r="2" spans="1:18" x14ac:dyDescent="0.25">
      <c r="A2" t="s">
        <v>85</v>
      </c>
      <c r="B2" t="s">
        <v>86</v>
      </c>
      <c r="C2" t="s">
        <v>86</v>
      </c>
      <c r="D2" t="s">
        <v>87</v>
      </c>
      <c r="E2" t="s">
        <v>90</v>
      </c>
      <c r="F2" t="s">
        <v>88</v>
      </c>
      <c r="G2" t="s">
        <v>89</v>
      </c>
      <c r="H2" t="s">
        <v>86</v>
      </c>
      <c r="I2" t="s">
        <v>94</v>
      </c>
      <c r="J2" t="s">
        <v>87</v>
      </c>
      <c r="K2" t="s">
        <v>86</v>
      </c>
      <c r="L2" t="s">
        <v>94</v>
      </c>
      <c r="M2" t="s">
        <v>87</v>
      </c>
      <c r="N2" t="s">
        <v>86</v>
      </c>
      <c r="O2" t="s">
        <v>94</v>
      </c>
      <c r="P2" t="s">
        <v>87</v>
      </c>
      <c r="Q2" t="s">
        <v>81</v>
      </c>
      <c r="R2" t="s">
        <v>96</v>
      </c>
    </row>
    <row r="3" spans="1:18" x14ac:dyDescent="0.25">
      <c r="A3" t="s">
        <v>72</v>
      </c>
      <c r="B3">
        <v>233</v>
      </c>
      <c r="C3">
        <v>385</v>
      </c>
      <c r="D3">
        <v>129</v>
      </c>
      <c r="E3">
        <f>SUM(B3:D3)</f>
        <v>747</v>
      </c>
      <c r="F3">
        <f>(B3+C3/2)/E3</f>
        <v>0.56961178045515393</v>
      </c>
      <c r="G3">
        <f>1-F3</f>
        <v>0.43038821954484607</v>
      </c>
      <c r="H3">
        <f>F3^2</f>
        <v>0.32445758043329048</v>
      </c>
      <c r="I3">
        <f>2*F3*G3</f>
        <v>0.49030840004372689</v>
      </c>
      <c r="J3">
        <f>G3^2</f>
        <v>0.18523401952298263</v>
      </c>
      <c r="K3">
        <f>H3*E3</f>
        <v>242.36981258366799</v>
      </c>
      <c r="L3">
        <f>I3*E3</f>
        <v>366.26037483266401</v>
      </c>
      <c r="M3">
        <f>J3*E3</f>
        <v>138.36981258366802</v>
      </c>
      <c r="N3">
        <f>(B3-K3)^2/K3</f>
        <v>0.36222905368116382</v>
      </c>
      <c r="O3">
        <f t="shared" ref="O3:P3" si="0">(C3-L3)^2/L3</f>
        <v>0.95880847490721721</v>
      </c>
      <c r="P3">
        <f t="shared" si="0"/>
        <v>0.63448367974031628</v>
      </c>
      <c r="Q3" s="1">
        <f>SUM(N3:P3)</f>
        <v>1.9555212083286975</v>
      </c>
      <c r="R3" s="1">
        <f>CHIDIST(Q3,1)</f>
        <v>0.1619931282255769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workbookViewId="0">
      <selection activeCell="D18" sqref="D18"/>
    </sheetView>
  </sheetViews>
  <sheetFormatPr defaultRowHeight="14.4" x14ac:dyDescent="0.25"/>
  <cols>
    <col min="1" max="1" width="18.33203125" bestFit="1" customWidth="1"/>
  </cols>
  <sheetData>
    <row r="1" spans="1:13" ht="16.8" x14ac:dyDescent="0.25">
      <c r="I1" t="s">
        <v>6</v>
      </c>
      <c r="J1" t="s">
        <v>5</v>
      </c>
      <c r="K1" s="2" t="s">
        <v>7</v>
      </c>
      <c r="L1" s="2" t="s">
        <v>7</v>
      </c>
      <c r="M1" s="2" t="s">
        <v>8</v>
      </c>
    </row>
    <row r="2" spans="1:13" x14ac:dyDescent="0.25">
      <c r="A2" t="s">
        <v>1</v>
      </c>
      <c r="B2">
        <v>2162</v>
      </c>
      <c r="C2">
        <v>2162</v>
      </c>
      <c r="D2">
        <v>2162</v>
      </c>
      <c r="E2">
        <v>2162</v>
      </c>
      <c r="F2">
        <v>2162</v>
      </c>
      <c r="G2">
        <v>2162</v>
      </c>
      <c r="H2">
        <v>2162</v>
      </c>
      <c r="I2">
        <v>2162</v>
      </c>
      <c r="J2">
        <f>I6*SUM(I10:I11)</f>
        <v>2163.7814481542837</v>
      </c>
      <c r="K2">
        <f>(I2-J2)^2/J2</f>
        <v>1.4666719363491127E-3</v>
      </c>
      <c r="L2">
        <f>SUM(K2:K5)</f>
        <v>2.5606157306268539E-2</v>
      </c>
      <c r="M2">
        <f>CHIDIST(L2,1)</f>
        <v>0.87286591785093959</v>
      </c>
    </row>
    <row r="3" spans="1:13" x14ac:dyDescent="0.25">
      <c r="A3" t="s">
        <v>2</v>
      </c>
      <c r="B3">
        <v>738</v>
      </c>
      <c r="C3">
        <v>738</v>
      </c>
      <c r="D3">
        <v>738</v>
      </c>
      <c r="E3">
        <v>738</v>
      </c>
      <c r="F3">
        <v>738</v>
      </c>
      <c r="G3">
        <v>738</v>
      </c>
      <c r="H3">
        <v>738</v>
      </c>
      <c r="I3">
        <v>738</v>
      </c>
      <c r="J3">
        <f>I6*SUM(I12:I13)</f>
        <v>739.91808603372135</v>
      </c>
      <c r="K3">
        <f t="shared" ref="K3:K5" si="0">(I3-J3)^2/J3</f>
        <v>4.9722450392829503E-3</v>
      </c>
    </row>
    <row r="4" spans="1:13" x14ac:dyDescent="0.25">
      <c r="A4" t="s">
        <v>0</v>
      </c>
      <c r="B4">
        <v>228</v>
      </c>
      <c r="C4">
        <v>228</v>
      </c>
      <c r="D4">
        <v>228</v>
      </c>
      <c r="E4">
        <v>228</v>
      </c>
      <c r="F4">
        <v>228</v>
      </c>
      <c r="G4">
        <v>228</v>
      </c>
      <c r="H4">
        <v>228</v>
      </c>
      <c r="I4">
        <v>228</v>
      </c>
      <c r="J4">
        <f>I6*I14</f>
        <v>225.9723104849794</v>
      </c>
      <c r="K4">
        <f t="shared" si="0"/>
        <v>1.8194816703428637E-2</v>
      </c>
    </row>
    <row r="5" spans="1:13" x14ac:dyDescent="0.25">
      <c r="A5" t="s">
        <v>3</v>
      </c>
      <c r="B5">
        <v>2876</v>
      </c>
      <c r="C5">
        <v>2876</v>
      </c>
      <c r="D5">
        <v>2876</v>
      </c>
      <c r="E5">
        <v>2876</v>
      </c>
      <c r="F5">
        <v>2876</v>
      </c>
      <c r="G5">
        <v>2876</v>
      </c>
      <c r="H5">
        <v>2876</v>
      </c>
      <c r="I5">
        <v>2876</v>
      </c>
      <c r="J5">
        <f>I6*I15</f>
        <v>2874.3281553270149</v>
      </c>
      <c r="K5">
        <f t="shared" si="0"/>
        <v>9.7242362720783865E-4</v>
      </c>
    </row>
    <row r="6" spans="1:13" x14ac:dyDescent="0.25">
      <c r="A6" t="s">
        <v>4</v>
      </c>
      <c r="B6">
        <f>SUM(B2:B5)</f>
        <v>6004</v>
      </c>
      <c r="C6">
        <f>SUM(C2:C5)</f>
        <v>6004</v>
      </c>
      <c r="D6">
        <f t="shared" ref="D6:F6" si="1">SUM(D2:D5)</f>
        <v>6004</v>
      </c>
      <c r="E6">
        <f t="shared" si="1"/>
        <v>6004</v>
      </c>
      <c r="F6">
        <f t="shared" si="1"/>
        <v>6004</v>
      </c>
      <c r="G6">
        <f>SUM(G2:G5)</f>
        <v>6004</v>
      </c>
      <c r="H6">
        <f t="shared" ref="H6" si="2">SUM(H2:H5)</f>
        <v>6004</v>
      </c>
      <c r="I6">
        <f t="shared" ref="I6" si="3">SUM(I2:I5)</f>
        <v>6004</v>
      </c>
    </row>
    <row r="7" spans="1:13" x14ac:dyDescent="0.25">
      <c r="A7" t="s">
        <v>9</v>
      </c>
      <c r="B7">
        <v>0.33</v>
      </c>
      <c r="C7">
        <f>B22</f>
        <v>0.25904952254052854</v>
      </c>
      <c r="D7">
        <f t="shared" ref="D7:F7" si="4">C22</f>
        <v>0.22933834217055882</v>
      </c>
      <c r="E7">
        <f t="shared" si="4"/>
        <v>0.2248285693051798</v>
      </c>
      <c r="F7">
        <f t="shared" si="4"/>
        <v>0.22422181687947462</v>
      </c>
      <c r="G7">
        <f>F22</f>
        <v>0.22414241523451195</v>
      </c>
      <c r="H7">
        <f t="shared" ref="H7:I7" si="5">G22</f>
        <v>0.22413210731550778</v>
      </c>
      <c r="I7">
        <f t="shared" si="5"/>
        <v>0.22413077249577848</v>
      </c>
    </row>
    <row r="8" spans="1:13" x14ac:dyDescent="0.25">
      <c r="A8" t="s">
        <v>10</v>
      </c>
      <c r="B8">
        <v>0.33</v>
      </c>
      <c r="C8">
        <f t="shared" ref="C8:F9" si="6">B23</f>
        <v>0.10093271152564957</v>
      </c>
      <c r="D8">
        <f t="shared" si="6"/>
        <v>8.4938308930440465E-2</v>
      </c>
      <c r="E8">
        <f t="shared" si="6"/>
        <v>8.4030741231000253E-2</v>
      </c>
      <c r="F8">
        <f t="shared" si="6"/>
        <v>8.3968434785038973E-2</v>
      </c>
      <c r="G8">
        <f t="shared" ref="G8:I8" si="7">F23</f>
        <v>8.3962763721252512E-2</v>
      </c>
      <c r="H8">
        <f t="shared" si="7"/>
        <v>8.3962132215015278E-2</v>
      </c>
      <c r="I8">
        <f t="shared" si="7"/>
        <v>8.3962054878575637E-2</v>
      </c>
    </row>
    <row r="9" spans="1:13" x14ac:dyDescent="0.25">
      <c r="A9" t="s">
        <v>11</v>
      </c>
      <c r="B9">
        <v>0.33</v>
      </c>
      <c r="C9">
        <f t="shared" si="6"/>
        <v>0.64001776593382187</v>
      </c>
      <c r="D9">
        <f t="shared" si="6"/>
        <v>0.68572334889900066</v>
      </c>
      <c r="E9">
        <f t="shared" si="6"/>
        <v>0.6911406894638199</v>
      </c>
      <c r="F9">
        <f t="shared" si="6"/>
        <v>0.69180974833548636</v>
      </c>
      <c r="G9">
        <f t="shared" ref="G9:I9" si="8">F24</f>
        <v>0.69189482104423561</v>
      </c>
      <c r="H9">
        <f t="shared" si="8"/>
        <v>0.69190576046947694</v>
      </c>
      <c r="I9">
        <f t="shared" si="8"/>
        <v>0.69190717262564583</v>
      </c>
    </row>
    <row r="10" spans="1:13" x14ac:dyDescent="0.25">
      <c r="A10" t="s">
        <v>12</v>
      </c>
      <c r="B10">
        <f>B7^2</f>
        <v>0.10890000000000001</v>
      </c>
      <c r="C10">
        <f>C7^2</f>
        <v>6.7106655128475801E-2</v>
      </c>
      <c r="D10">
        <f t="shared" ref="D10:F10" si="9">D7^2</f>
        <v>5.259607518954032E-2</v>
      </c>
      <c r="E10">
        <f t="shared" si="9"/>
        <v>5.0547885575814036E-2</v>
      </c>
      <c r="F10">
        <f t="shared" si="9"/>
        <v>5.0275423164732651E-2</v>
      </c>
      <c r="G10">
        <f>G7^2</f>
        <v>5.0239822307160377E-2</v>
      </c>
      <c r="H10">
        <f t="shared" ref="H10:I10" si="10">H7^2</f>
        <v>5.0235201529690299E-2</v>
      </c>
      <c r="I10" s="1">
        <f t="shared" si="10"/>
        <v>5.0234603179554409E-2</v>
      </c>
    </row>
    <row r="11" spans="1:13" x14ac:dyDescent="0.25">
      <c r="A11" t="s">
        <v>13</v>
      </c>
      <c r="B11">
        <f>2*B7*B9</f>
        <v>0.21780000000000002</v>
      </c>
      <c r="C11">
        <f>2*C7*C9</f>
        <v>0.33159259336522462</v>
      </c>
      <c r="D11">
        <f t="shared" ref="D11:F11" si="11">2*D7*D9</f>
        <v>0.31452531204828099</v>
      </c>
      <c r="E11">
        <f t="shared" si="11"/>
        <v>0.31077634480149235</v>
      </c>
      <c r="F11">
        <f t="shared" si="11"/>
        <v>0.31023767741342967</v>
      </c>
      <c r="G11">
        <f>2*G7*G9</f>
        <v>0.31016595255421081</v>
      </c>
      <c r="H11">
        <f t="shared" ref="H11:I11" si="12">2*H7*H9</f>
        <v>0.31015659231552567</v>
      </c>
      <c r="I11" s="1">
        <f t="shared" si="12"/>
        <v>0.31015537819191191</v>
      </c>
    </row>
    <row r="12" spans="1:13" x14ac:dyDescent="0.25">
      <c r="A12" t="s">
        <v>14</v>
      </c>
      <c r="B12">
        <f>B8^2</f>
        <v>0.10890000000000001</v>
      </c>
      <c r="C12">
        <f>C8^2</f>
        <v>1.0187412255919995E-2</v>
      </c>
      <c r="D12">
        <f t="shared" ref="D12:F12" si="13">D8^2</f>
        <v>7.2145163239629422E-3</v>
      </c>
      <c r="E12">
        <f t="shared" si="13"/>
        <v>7.0611654718313261E-3</v>
      </c>
      <c r="F12">
        <f t="shared" si="13"/>
        <v>7.0506980402493431E-3</v>
      </c>
      <c r="G12">
        <f>G8^2</f>
        <v>7.0497456917108766E-3</v>
      </c>
      <c r="H12">
        <f t="shared" ref="H12:I12" si="14">H8^2</f>
        <v>7.0496396460917061E-3</v>
      </c>
      <c r="I12" s="1">
        <f t="shared" si="14"/>
        <v>7.0496266594329473E-3</v>
      </c>
    </row>
    <row r="13" spans="1:13" x14ac:dyDescent="0.25">
      <c r="A13" t="s">
        <v>15</v>
      </c>
      <c r="B13">
        <f>2*B8*B9</f>
        <v>0.21780000000000002</v>
      </c>
      <c r="C13">
        <f>2*C8*C9</f>
        <v>0.12919745708057831</v>
      </c>
      <c r="D13">
        <f t="shared" ref="D13:F13" si="15">2*D8*D9</f>
        <v>0.11648836329919907</v>
      </c>
      <c r="E13">
        <f t="shared" si="15"/>
        <v>0.1161541288610987</v>
      </c>
      <c r="F13">
        <f t="shared" si="15"/>
        <v>0.11618036347352502</v>
      </c>
      <c r="G13">
        <f>2*G8*G9</f>
        <v>0.11618680275859089</v>
      </c>
      <c r="H13">
        <f t="shared" ref="H13:I13" si="16">2*H8*H9</f>
        <v>0.11618776588173783</v>
      </c>
      <c r="I13" s="1">
        <f t="shared" si="16"/>
        <v>0.11618789599774916</v>
      </c>
    </row>
    <row r="14" spans="1:13" x14ac:dyDescent="0.25">
      <c r="A14" t="s">
        <v>16</v>
      </c>
      <c r="B14">
        <f>2*B7*B8</f>
        <v>0.21780000000000002</v>
      </c>
      <c r="C14">
        <f>2*C7*C8</f>
        <v>5.2293141458880851E-2</v>
      </c>
      <c r="D14">
        <f t="shared" ref="D14:F14" si="17">2*D7*D8</f>
        <v>3.8959221913755976E-2</v>
      </c>
      <c r="E14">
        <f t="shared" si="17"/>
        <v>3.778502265723914E-2</v>
      </c>
      <c r="F14">
        <f t="shared" si="17"/>
        <v>3.7655110016054233E-2</v>
      </c>
      <c r="G14">
        <f>2*G7*G8</f>
        <v>3.7639233300492389E-2</v>
      </c>
      <c r="H14">
        <f t="shared" ref="H14:I14" si="18">2*H7*H8</f>
        <v>3.7637219256109314E-2</v>
      </c>
      <c r="I14" s="1">
        <f t="shared" si="18"/>
        <v>3.7636960440536209E-2</v>
      </c>
    </row>
    <row r="15" spans="1:13" x14ac:dyDescent="0.25">
      <c r="A15" t="s">
        <v>17</v>
      </c>
      <c r="B15">
        <f>B9^2</f>
        <v>0.10890000000000001</v>
      </c>
      <c r="C15">
        <f>C9^2</f>
        <v>0.40962274071092042</v>
      </c>
      <c r="D15">
        <f t="shared" ref="D15:F15" si="19">D9^2</f>
        <v>0.47021651122526059</v>
      </c>
      <c r="E15">
        <f t="shared" si="19"/>
        <v>0.47767545263252431</v>
      </c>
      <c r="F15">
        <f t="shared" si="19"/>
        <v>0.47860072789200897</v>
      </c>
      <c r="G15">
        <f>G9^2</f>
        <v>0.47871844338783481</v>
      </c>
      <c r="H15">
        <f t="shared" ref="H15:I15" si="20">H9^2</f>
        <v>0.47873358137084521</v>
      </c>
      <c r="I15" s="1">
        <f t="shared" si="20"/>
        <v>0.47873553553081527</v>
      </c>
    </row>
    <row r="16" spans="1:13" x14ac:dyDescent="0.25">
      <c r="A16" t="s">
        <v>18</v>
      </c>
      <c r="B16">
        <f>B2*B10/(B10+B11)</f>
        <v>720.66666666666663</v>
      </c>
      <c r="C16">
        <f t="shared" ref="C16:I16" si="21">C2*C10/(C10+C11)</f>
        <v>363.89481278407044</v>
      </c>
      <c r="D16">
        <f t="shared" si="21"/>
        <v>309.7414602165988</v>
      </c>
      <c r="E16">
        <f t="shared" si="21"/>
        <v>302.45557708873145</v>
      </c>
      <c r="F16">
        <f t="shared" si="21"/>
        <v>301.50212213601901</v>
      </c>
      <c r="G16">
        <f t="shared" si="21"/>
        <v>301.37834464461747</v>
      </c>
      <c r="H16">
        <f t="shared" si="21"/>
        <v>301.36231612930817</v>
      </c>
      <c r="I16">
        <f t="shared" si="21"/>
        <v>301.36024220454522</v>
      </c>
    </row>
    <row r="17" spans="1:9" x14ac:dyDescent="0.25">
      <c r="A17" t="s">
        <v>19</v>
      </c>
      <c r="B17">
        <f>B2*B11/(B10+B11)</f>
        <v>1441.3333333333333</v>
      </c>
      <c r="C17">
        <f>C2*C11/(C10+C11)</f>
        <v>1798.1051872159296</v>
      </c>
      <c r="D17">
        <f t="shared" ref="D17:F17" si="22">D2*D11/(D10+D11)</f>
        <v>1852.2585397834014</v>
      </c>
      <c r="E17">
        <f t="shared" si="22"/>
        <v>1859.5444229112686</v>
      </c>
      <c r="F17">
        <f t="shared" si="22"/>
        <v>1860.4978778639811</v>
      </c>
      <c r="G17">
        <f>G2*G11/(G10+G11)</f>
        <v>1860.6216553553822</v>
      </c>
      <c r="H17">
        <f t="shared" ref="H17:I17" si="23">H2*H11/(H10+H11)</f>
        <v>1860.6376838706917</v>
      </c>
      <c r="I17">
        <f t="shared" si="23"/>
        <v>1860.6397577954547</v>
      </c>
    </row>
    <row r="18" spans="1:9" x14ac:dyDescent="0.25">
      <c r="A18" t="s">
        <v>20</v>
      </c>
      <c r="B18">
        <f>B3*B12/(B12+B13)</f>
        <v>245.99999999999997</v>
      </c>
      <c r="C18">
        <f>C3*C12/(C12+C13)</f>
        <v>53.939213636729129</v>
      </c>
      <c r="D18">
        <f t="shared" ref="D18:F18" si="24">D3*D12/(D12+D13)</f>
        <v>43.041140701850985</v>
      </c>
      <c r="E18">
        <f t="shared" si="24"/>
        <v>42.292964898748039</v>
      </c>
      <c r="F18">
        <f t="shared" si="24"/>
        <v>42.224866764800161</v>
      </c>
      <c r="G18">
        <f>G3*G12/(G12+G13)</f>
        <v>42.217283637903499</v>
      </c>
      <c r="H18">
        <f t="shared" ref="H18:I18" si="25">H3*H12/(H12+H13)</f>
        <v>42.216354981936206</v>
      </c>
      <c r="I18">
        <f t="shared" si="25"/>
        <v>42.216237088228368</v>
      </c>
    </row>
    <row r="19" spans="1:9" x14ac:dyDescent="0.25">
      <c r="A19" t="s">
        <v>21</v>
      </c>
      <c r="B19">
        <f>B3*B13/(B12+B13)</f>
        <v>491.99999999999994</v>
      </c>
      <c r="C19">
        <f>C3*C13/(C12+C13)</f>
        <v>684.06078636327084</v>
      </c>
      <c r="D19">
        <f t="shared" ref="D19:F19" si="26">D3*D13/(D12+D13)</f>
        <v>694.95885929814904</v>
      </c>
      <c r="E19">
        <f t="shared" si="26"/>
        <v>695.7070351012519</v>
      </c>
      <c r="F19">
        <f t="shared" si="26"/>
        <v>695.77513323519986</v>
      </c>
      <c r="G19">
        <f>G3*G13/(G12+G13)</f>
        <v>695.78271636209649</v>
      </c>
      <c r="H19">
        <f t="shared" ref="H19:I19" si="27">H3*H13/(H12+H13)</f>
        <v>695.78364501806379</v>
      </c>
      <c r="I19">
        <f t="shared" si="27"/>
        <v>695.78376291177176</v>
      </c>
    </row>
    <row r="20" spans="1:9" x14ac:dyDescent="0.25">
      <c r="A20" t="s">
        <v>22</v>
      </c>
      <c r="B20">
        <f>B4</f>
        <v>228</v>
      </c>
      <c r="C20">
        <f>C4</f>
        <v>228</v>
      </c>
      <c r="D20">
        <f t="shared" ref="D20:F20" si="28">D4</f>
        <v>228</v>
      </c>
      <c r="E20">
        <f t="shared" si="28"/>
        <v>228</v>
      </c>
      <c r="F20">
        <f t="shared" si="28"/>
        <v>228</v>
      </c>
      <c r="G20">
        <f>G4</f>
        <v>228</v>
      </c>
      <c r="H20">
        <f t="shared" ref="H20:I20" si="29">H4</f>
        <v>228</v>
      </c>
      <c r="I20">
        <f t="shared" si="29"/>
        <v>228</v>
      </c>
    </row>
    <row r="21" spans="1:9" x14ac:dyDescent="0.25">
      <c r="A21" t="s">
        <v>23</v>
      </c>
      <c r="B21">
        <f>B5</f>
        <v>2876</v>
      </c>
      <c r="C21">
        <f>C5</f>
        <v>2876</v>
      </c>
      <c r="D21">
        <f t="shared" ref="D21:F21" si="30">D5</f>
        <v>2876</v>
      </c>
      <c r="E21">
        <f t="shared" si="30"/>
        <v>2876</v>
      </c>
      <c r="F21">
        <f t="shared" si="30"/>
        <v>2876</v>
      </c>
      <c r="G21">
        <f>G5</f>
        <v>2876</v>
      </c>
      <c r="H21">
        <f t="shared" ref="H21:I21" si="31">H5</f>
        <v>2876</v>
      </c>
      <c r="I21">
        <f t="shared" si="31"/>
        <v>2876</v>
      </c>
    </row>
    <row r="22" spans="1:9" x14ac:dyDescent="0.25">
      <c r="A22" t="s">
        <v>9</v>
      </c>
      <c r="B22">
        <f>(B16+B17/2+B20/2)/B6</f>
        <v>0.25904952254052854</v>
      </c>
      <c r="C22">
        <f>(C16+C17/2+C20/2)/C6</f>
        <v>0.22933834217055882</v>
      </c>
      <c r="D22">
        <f t="shared" ref="D22:F22" si="32">(D16+D17/2+D20/2)/D6</f>
        <v>0.2248285693051798</v>
      </c>
      <c r="E22">
        <f t="shared" si="32"/>
        <v>0.22422181687947462</v>
      </c>
      <c r="F22">
        <f t="shared" si="32"/>
        <v>0.22414241523451195</v>
      </c>
      <c r="G22">
        <f>(G16+G17/2+G20/2)/G6</f>
        <v>0.22413210731550778</v>
      </c>
      <c r="H22">
        <f t="shared" ref="H22:I22" si="33">(H16+H17/2+H20/2)/H6</f>
        <v>0.22413077249577848</v>
      </c>
      <c r="I22" s="1">
        <f t="shared" si="33"/>
        <v>0.22413059978385619</v>
      </c>
    </row>
    <row r="23" spans="1:9" x14ac:dyDescent="0.25">
      <c r="A23" t="s">
        <v>10</v>
      </c>
      <c r="B23">
        <f>(B18+B19/2+B20/2)/B6</f>
        <v>0.10093271152564957</v>
      </c>
      <c r="C23">
        <f>(C18+C19/2+C20/2)/C6</f>
        <v>8.4938308930440465E-2</v>
      </c>
      <c r="D23">
        <f t="shared" ref="D23:F23" si="34">(D18+D19/2+D20/2)/D6</f>
        <v>8.4030741231000253E-2</v>
      </c>
      <c r="E23">
        <f t="shared" si="34"/>
        <v>8.3968434785038973E-2</v>
      </c>
      <c r="F23">
        <f t="shared" si="34"/>
        <v>8.3962763721252512E-2</v>
      </c>
      <c r="G23">
        <f>(G18+G19/2+G20/2)/G6</f>
        <v>8.3962132215015278E-2</v>
      </c>
      <c r="H23">
        <f t="shared" ref="H23:I23" si="35">(H18+H19/2+H20/2)/H6</f>
        <v>8.3962054878575637E-2</v>
      </c>
      <c r="I23" s="1">
        <f t="shared" si="35"/>
        <v>8.396204506064528E-2</v>
      </c>
    </row>
    <row r="24" spans="1:9" x14ac:dyDescent="0.25">
      <c r="A24" t="s">
        <v>11</v>
      </c>
      <c r="B24">
        <f>(B17/2+B19/2+B21)/B6</f>
        <v>0.64001776593382187</v>
      </c>
      <c r="C24">
        <f>(C17/2+C19/2+C21)/C6</f>
        <v>0.68572334889900066</v>
      </c>
      <c r="D24">
        <f t="shared" ref="D24:F24" si="36">(D17/2+D19/2+D21)/D6</f>
        <v>0.6911406894638199</v>
      </c>
      <c r="E24">
        <f t="shared" si="36"/>
        <v>0.69180974833548636</v>
      </c>
      <c r="F24">
        <f t="shared" si="36"/>
        <v>0.69189482104423561</v>
      </c>
      <c r="G24">
        <f>(G17/2+G19/2+G21)/G6</f>
        <v>0.69190576046947694</v>
      </c>
      <c r="H24">
        <f t="shared" ref="H24:I24" si="37">(H17/2+H19/2+H21)/H6</f>
        <v>0.69190717262564583</v>
      </c>
      <c r="I24" s="1">
        <f t="shared" si="37"/>
        <v>0.69190735515549862</v>
      </c>
    </row>
    <row r="26" spans="1:9" x14ac:dyDescent="0.25">
      <c r="A26" t="s">
        <v>58</v>
      </c>
      <c r="B26" t="s">
        <v>59</v>
      </c>
    </row>
    <row r="27" spans="1:9" x14ac:dyDescent="0.25">
      <c r="A27" t="s">
        <v>60</v>
      </c>
      <c r="B27">
        <f>1-SQRT((B3+B5)/B6)</f>
        <v>0.22415720322791466</v>
      </c>
    </row>
    <row r="28" spans="1:9" x14ac:dyDescent="0.25">
      <c r="A28" t="s">
        <v>61</v>
      </c>
      <c r="B28">
        <f>1-SQRT((B2+B5)/B6)</f>
        <v>8.3972019081595017E-2</v>
      </c>
    </row>
    <row r="29" spans="1:9" x14ac:dyDescent="0.25">
      <c r="A29" t="s">
        <v>62</v>
      </c>
      <c r="B29">
        <f>SQRT(B5/B6)</f>
        <v>0.69210836627863759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workbookViewId="0">
      <selection activeCell="D25" sqref="D25"/>
    </sheetView>
  </sheetViews>
  <sheetFormatPr defaultRowHeight="14.4" x14ac:dyDescent="0.25"/>
  <cols>
    <col min="2" max="4" width="10.5546875" bestFit="1" customWidth="1"/>
  </cols>
  <sheetData>
    <row r="1" spans="1:6" x14ac:dyDescent="0.25">
      <c r="A1" t="s">
        <v>107</v>
      </c>
      <c r="B1" t="s">
        <v>101</v>
      </c>
      <c r="C1" t="s">
        <v>102</v>
      </c>
      <c r="D1" t="s">
        <v>103</v>
      </c>
      <c r="E1" t="s">
        <v>104</v>
      </c>
      <c r="F1" t="s">
        <v>105</v>
      </c>
    </row>
    <row r="2" spans="1:6" x14ac:dyDescent="0.25">
      <c r="A2" t="s">
        <v>97</v>
      </c>
      <c r="B2">
        <v>24</v>
      </c>
      <c r="C2">
        <v>23</v>
      </c>
      <c r="D2">
        <v>12</v>
      </c>
      <c r="E2">
        <f>SUM(B2:D2)</f>
        <v>59</v>
      </c>
      <c r="F2">
        <f>E2/$E$6</f>
        <v>0.29499999999999998</v>
      </c>
    </row>
    <row r="3" spans="1:6" x14ac:dyDescent="0.25">
      <c r="A3" t="s">
        <v>98</v>
      </c>
      <c r="B3">
        <v>24</v>
      </c>
      <c r="C3">
        <v>14</v>
      </c>
      <c r="D3">
        <v>10</v>
      </c>
      <c r="E3">
        <f t="shared" ref="E3:E5" si="0">SUM(B3:D3)</f>
        <v>48</v>
      </c>
      <c r="F3">
        <f t="shared" ref="F3:F5" si="1">E3/$E$6</f>
        <v>0.24</v>
      </c>
    </row>
    <row r="4" spans="1:6" x14ac:dyDescent="0.25">
      <c r="A4" t="s">
        <v>99</v>
      </c>
      <c r="B4">
        <v>17</v>
      </c>
      <c r="C4">
        <v>8</v>
      </c>
      <c r="D4">
        <v>13</v>
      </c>
      <c r="E4">
        <f t="shared" si="0"/>
        <v>38</v>
      </c>
      <c r="F4">
        <f t="shared" si="1"/>
        <v>0.19</v>
      </c>
    </row>
    <row r="5" spans="1:6" x14ac:dyDescent="0.25">
      <c r="A5" t="s">
        <v>100</v>
      </c>
      <c r="B5">
        <v>27</v>
      </c>
      <c r="C5">
        <v>19</v>
      </c>
      <c r="D5">
        <v>9</v>
      </c>
      <c r="E5">
        <f t="shared" si="0"/>
        <v>55</v>
      </c>
      <c r="F5">
        <f t="shared" si="1"/>
        <v>0.27500000000000002</v>
      </c>
    </row>
    <row r="6" spans="1:6" x14ac:dyDescent="0.25">
      <c r="A6" t="s">
        <v>104</v>
      </c>
      <c r="B6">
        <f>SUM(B2:B5)</f>
        <v>92</v>
      </c>
      <c r="C6">
        <f t="shared" ref="C6:E6" si="2">SUM(C2:C5)</f>
        <v>64</v>
      </c>
      <c r="D6">
        <f t="shared" si="2"/>
        <v>44</v>
      </c>
      <c r="E6">
        <f t="shared" si="2"/>
        <v>200</v>
      </c>
    </row>
    <row r="7" spans="1:6" x14ac:dyDescent="0.25">
      <c r="A7" t="s">
        <v>106</v>
      </c>
      <c r="B7">
        <f>B6/$E$6</f>
        <v>0.46</v>
      </c>
      <c r="C7">
        <f t="shared" ref="C7:D7" si="3">C6/$E$6</f>
        <v>0.32</v>
      </c>
      <c r="D7">
        <f t="shared" si="3"/>
        <v>0.22</v>
      </c>
    </row>
    <row r="9" spans="1:6" x14ac:dyDescent="0.25">
      <c r="A9" t="s">
        <v>108</v>
      </c>
      <c r="B9" t="s">
        <v>101</v>
      </c>
      <c r="C9" t="s">
        <v>102</v>
      </c>
      <c r="D9" t="s">
        <v>103</v>
      </c>
    </row>
    <row r="10" spans="1:6" x14ac:dyDescent="0.25">
      <c r="A10" t="s">
        <v>97</v>
      </c>
      <c r="B10">
        <f>B$7*$F2*$E$6</f>
        <v>27.139999999999997</v>
      </c>
      <c r="C10">
        <f t="shared" ref="C10:D10" si="4">C$7*$F2*$E$6</f>
        <v>18.88</v>
      </c>
      <c r="D10">
        <f t="shared" si="4"/>
        <v>12.98</v>
      </c>
    </row>
    <row r="11" spans="1:6" x14ac:dyDescent="0.25">
      <c r="A11" t="s">
        <v>98</v>
      </c>
      <c r="B11">
        <f t="shared" ref="B11:D11" si="5">B$7*$F3*$E$6</f>
        <v>22.08</v>
      </c>
      <c r="C11">
        <f t="shared" si="5"/>
        <v>15.36</v>
      </c>
      <c r="D11">
        <f t="shared" si="5"/>
        <v>10.56</v>
      </c>
    </row>
    <row r="12" spans="1:6" x14ac:dyDescent="0.25">
      <c r="A12" t="s">
        <v>99</v>
      </c>
      <c r="B12">
        <f t="shared" ref="B12:D12" si="6">B$7*$F4*$E$6</f>
        <v>17.48</v>
      </c>
      <c r="C12">
        <f t="shared" si="6"/>
        <v>12.16</v>
      </c>
      <c r="D12">
        <f t="shared" si="6"/>
        <v>8.3600000000000012</v>
      </c>
    </row>
    <row r="13" spans="1:6" x14ac:dyDescent="0.25">
      <c r="A13" t="s">
        <v>100</v>
      </c>
      <c r="B13">
        <f t="shared" ref="B13:D13" si="7">B$7*$F5*$E$6</f>
        <v>25.300000000000004</v>
      </c>
      <c r="C13">
        <f t="shared" si="7"/>
        <v>17.600000000000001</v>
      </c>
      <c r="D13">
        <f t="shared" si="7"/>
        <v>12.100000000000001</v>
      </c>
    </row>
    <row r="15" spans="1:6" x14ac:dyDescent="0.25">
      <c r="A15" t="s">
        <v>109</v>
      </c>
      <c r="B15" t="s">
        <v>101</v>
      </c>
      <c r="C15" t="s">
        <v>102</v>
      </c>
      <c r="D15" t="s">
        <v>103</v>
      </c>
    </row>
    <row r="16" spans="1:6" x14ac:dyDescent="0.25">
      <c r="A16" t="s">
        <v>97</v>
      </c>
      <c r="B16">
        <f>(B2-B10)^2/B10</f>
        <v>0.36328666175386815</v>
      </c>
      <c r="C16">
        <f t="shared" ref="C16:D16" si="8">(C2-C10)^2/C10</f>
        <v>0.89906779661017011</v>
      </c>
      <c r="D16">
        <f t="shared" si="8"/>
        <v>7.3990755007704218E-2</v>
      </c>
    </row>
    <row r="17" spans="1:4" x14ac:dyDescent="0.25">
      <c r="A17" t="s">
        <v>98</v>
      </c>
      <c r="B17">
        <f t="shared" ref="B17:D17" si="9">(B3-B11)^2/B11</f>
        <v>0.16695652173913075</v>
      </c>
      <c r="C17">
        <f t="shared" si="9"/>
        <v>0.12041666666666656</v>
      </c>
      <c r="D17">
        <f t="shared" si="9"/>
        <v>2.9696969696969746E-2</v>
      </c>
    </row>
    <row r="18" spans="1:4" x14ac:dyDescent="0.25">
      <c r="A18" t="s">
        <v>99</v>
      </c>
      <c r="B18">
        <f t="shared" ref="B18:D18" si="10">(B4-B12)^2/B12</f>
        <v>1.3180778032036636E-2</v>
      </c>
      <c r="C18">
        <f t="shared" si="10"/>
        <v>1.4231578947368422</v>
      </c>
      <c r="D18">
        <f t="shared" si="10"/>
        <v>2.575311004784687</v>
      </c>
    </row>
    <row r="19" spans="1:4" x14ac:dyDescent="0.25">
      <c r="A19" t="s">
        <v>100</v>
      </c>
      <c r="B19">
        <f t="shared" ref="B19:D19" si="11">(B5-B13)^2/B13</f>
        <v>0.11422924901185712</v>
      </c>
      <c r="C19">
        <f t="shared" si="11"/>
        <v>0.11136363636363612</v>
      </c>
      <c r="D19">
        <f t="shared" si="11"/>
        <v>0.7942148760330584</v>
      </c>
    </row>
    <row r="20" spans="1:4" x14ac:dyDescent="0.25">
      <c r="A20" t="s">
        <v>109</v>
      </c>
      <c r="B20" s="1">
        <f>SUM(B16:D19)</f>
        <v>6.6848728104366275</v>
      </c>
    </row>
    <row r="21" spans="1:4" x14ac:dyDescent="0.25">
      <c r="A21" t="s">
        <v>110</v>
      </c>
      <c r="B21" s="1">
        <f>CHIDIST(B20,6)</f>
        <v>0.35097531417187294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tabSelected="1" workbookViewId="0">
      <selection activeCell="H29" sqref="H29"/>
    </sheetView>
  </sheetViews>
  <sheetFormatPr defaultRowHeight="14.4" x14ac:dyDescent="0.25"/>
  <sheetData>
    <row r="1" spans="1:7" x14ac:dyDescent="0.25">
      <c r="A1" t="s">
        <v>31</v>
      </c>
      <c r="B1" t="s">
        <v>32</v>
      </c>
      <c r="C1" t="s">
        <v>33</v>
      </c>
      <c r="D1" t="s">
        <v>34</v>
      </c>
      <c r="E1" t="s">
        <v>35</v>
      </c>
      <c r="F1" t="s">
        <v>36</v>
      </c>
      <c r="G1" t="s">
        <v>37</v>
      </c>
    </row>
    <row r="2" spans="1:7" x14ac:dyDescent="0.25">
      <c r="A2" t="s">
        <v>24</v>
      </c>
      <c r="B2" t="s">
        <v>25</v>
      </c>
      <c r="C2" t="s">
        <v>26</v>
      </c>
      <c r="D2" t="s">
        <v>27</v>
      </c>
      <c r="E2" t="s">
        <v>28</v>
      </c>
      <c r="F2" t="s">
        <v>29</v>
      </c>
      <c r="G2" t="s">
        <v>30</v>
      </c>
    </row>
    <row r="3" spans="1:7" x14ac:dyDescent="0.25">
      <c r="A3">
        <v>83</v>
      </c>
      <c r="B3">
        <v>234.28899999999999</v>
      </c>
      <c r="C3">
        <v>235.6</v>
      </c>
      <c r="D3">
        <v>159</v>
      </c>
      <c r="E3">
        <v>107.608</v>
      </c>
      <c r="F3">
        <v>1947</v>
      </c>
      <c r="G3">
        <v>60.323</v>
      </c>
    </row>
    <row r="4" spans="1:7" x14ac:dyDescent="0.25">
      <c r="A4">
        <v>88.5</v>
      </c>
      <c r="B4">
        <v>259.42599999999999</v>
      </c>
      <c r="C4">
        <v>232.5</v>
      </c>
      <c r="D4">
        <v>145.6</v>
      </c>
      <c r="E4">
        <v>108.63200000000001</v>
      </c>
      <c r="F4">
        <v>1948</v>
      </c>
      <c r="G4">
        <v>61.122</v>
      </c>
    </row>
    <row r="5" spans="1:7" x14ac:dyDescent="0.25">
      <c r="A5">
        <v>88.2</v>
      </c>
      <c r="B5">
        <v>258.05399999999997</v>
      </c>
      <c r="C5">
        <v>368.2</v>
      </c>
      <c r="D5">
        <v>161.6</v>
      </c>
      <c r="E5">
        <v>109.773</v>
      </c>
      <c r="F5">
        <v>1949</v>
      </c>
      <c r="G5">
        <v>60.170999999999999</v>
      </c>
    </row>
    <row r="6" spans="1:7" x14ac:dyDescent="0.25">
      <c r="A6">
        <v>89.5</v>
      </c>
      <c r="B6">
        <v>284.59899999999999</v>
      </c>
      <c r="C6">
        <v>335.1</v>
      </c>
      <c r="D6">
        <v>165</v>
      </c>
      <c r="E6">
        <v>110.929</v>
      </c>
      <c r="F6">
        <v>1950</v>
      </c>
      <c r="G6">
        <v>61.186999999999998</v>
      </c>
    </row>
    <row r="7" spans="1:7" x14ac:dyDescent="0.25">
      <c r="A7">
        <v>96.2</v>
      </c>
      <c r="B7">
        <v>328.97500000000002</v>
      </c>
      <c r="C7">
        <v>209.9</v>
      </c>
      <c r="D7">
        <v>309.89999999999998</v>
      </c>
      <c r="E7">
        <v>112.075</v>
      </c>
      <c r="F7">
        <v>1951</v>
      </c>
      <c r="G7">
        <v>63.220999999999997</v>
      </c>
    </row>
    <row r="8" spans="1:7" x14ac:dyDescent="0.25">
      <c r="A8">
        <v>98.1</v>
      </c>
      <c r="B8">
        <v>346.99900000000002</v>
      </c>
      <c r="C8">
        <v>193.2</v>
      </c>
      <c r="D8">
        <v>359.4</v>
      </c>
      <c r="E8">
        <v>113.27</v>
      </c>
      <c r="F8">
        <v>1952</v>
      </c>
      <c r="G8">
        <v>63.639000000000003</v>
      </c>
    </row>
    <row r="9" spans="1:7" x14ac:dyDescent="0.25">
      <c r="A9">
        <v>99</v>
      </c>
      <c r="B9">
        <v>365.38499999999999</v>
      </c>
      <c r="C9">
        <v>187</v>
      </c>
      <c r="D9">
        <v>354.7</v>
      </c>
      <c r="E9">
        <v>115.09399999999999</v>
      </c>
      <c r="F9">
        <v>1953</v>
      </c>
      <c r="G9">
        <v>64.989000000000004</v>
      </c>
    </row>
    <row r="10" spans="1:7" x14ac:dyDescent="0.25">
      <c r="A10">
        <v>100</v>
      </c>
      <c r="B10">
        <v>363.11200000000002</v>
      </c>
      <c r="C10">
        <v>357.8</v>
      </c>
      <c r="D10">
        <v>335</v>
      </c>
      <c r="E10">
        <v>116.21899999999999</v>
      </c>
      <c r="F10">
        <v>1954</v>
      </c>
      <c r="G10">
        <v>63.761000000000003</v>
      </c>
    </row>
    <row r="11" spans="1:7" x14ac:dyDescent="0.25">
      <c r="A11">
        <v>101.2</v>
      </c>
      <c r="B11">
        <v>397.46899999999999</v>
      </c>
      <c r="C11">
        <v>290.39999999999998</v>
      </c>
      <c r="D11">
        <v>304.8</v>
      </c>
      <c r="E11">
        <v>117.38800000000001</v>
      </c>
      <c r="F11">
        <v>1955</v>
      </c>
      <c r="G11">
        <v>66.019000000000005</v>
      </c>
    </row>
    <row r="12" spans="1:7" x14ac:dyDescent="0.25">
      <c r="A12">
        <v>104.6</v>
      </c>
      <c r="B12">
        <v>419.18</v>
      </c>
      <c r="C12">
        <v>282.2</v>
      </c>
      <c r="D12">
        <v>285.7</v>
      </c>
      <c r="E12">
        <v>118.73399999999999</v>
      </c>
      <c r="F12">
        <v>1956</v>
      </c>
      <c r="G12">
        <v>67.856999999999999</v>
      </c>
    </row>
    <row r="13" spans="1:7" x14ac:dyDescent="0.25">
      <c r="A13">
        <v>108.4</v>
      </c>
      <c r="B13">
        <v>442.76900000000001</v>
      </c>
      <c r="C13">
        <v>293.60000000000002</v>
      </c>
      <c r="D13">
        <v>279.8</v>
      </c>
      <c r="E13">
        <v>120.44499999999999</v>
      </c>
      <c r="F13">
        <v>1957</v>
      </c>
      <c r="G13">
        <v>68.168999999999997</v>
      </c>
    </row>
    <row r="14" spans="1:7" x14ac:dyDescent="0.25">
      <c r="A14">
        <v>110.8</v>
      </c>
      <c r="B14">
        <v>444.54599999999999</v>
      </c>
      <c r="C14">
        <v>468.1</v>
      </c>
      <c r="D14">
        <v>263.7</v>
      </c>
      <c r="E14">
        <v>121.95</v>
      </c>
      <c r="F14">
        <v>1958</v>
      </c>
      <c r="G14">
        <v>66.513000000000005</v>
      </c>
    </row>
    <row r="15" spans="1:7" x14ac:dyDescent="0.25">
      <c r="A15">
        <v>112.6</v>
      </c>
      <c r="B15">
        <v>482.70400000000001</v>
      </c>
      <c r="C15">
        <v>381.3</v>
      </c>
      <c r="D15">
        <v>255.2</v>
      </c>
      <c r="E15">
        <v>123.366</v>
      </c>
      <c r="F15">
        <v>1959</v>
      </c>
      <c r="G15">
        <v>68.655000000000001</v>
      </c>
    </row>
    <row r="16" spans="1:7" x14ac:dyDescent="0.25">
      <c r="A16">
        <v>114.2</v>
      </c>
      <c r="B16">
        <v>502.601</v>
      </c>
      <c r="C16">
        <v>393.1</v>
      </c>
      <c r="D16">
        <v>251.4</v>
      </c>
      <c r="E16">
        <v>125.36799999999999</v>
      </c>
      <c r="F16">
        <v>1960</v>
      </c>
      <c r="G16">
        <v>69.563999999999993</v>
      </c>
    </row>
    <row r="17" spans="1:7" x14ac:dyDescent="0.25">
      <c r="A17">
        <v>115.7</v>
      </c>
      <c r="B17">
        <v>518.173</v>
      </c>
      <c r="C17">
        <v>480.6</v>
      </c>
      <c r="D17">
        <v>257.2</v>
      </c>
      <c r="E17">
        <v>127.852</v>
      </c>
      <c r="F17">
        <v>1961</v>
      </c>
      <c r="G17">
        <v>69.331000000000003</v>
      </c>
    </row>
    <row r="18" spans="1:7" x14ac:dyDescent="0.25">
      <c r="A18">
        <v>116.9</v>
      </c>
      <c r="B18">
        <v>554.89400000000001</v>
      </c>
      <c r="C18">
        <v>400.7</v>
      </c>
      <c r="D18">
        <v>282.7</v>
      </c>
      <c r="E18">
        <v>130.08099999999999</v>
      </c>
      <c r="F18">
        <v>1962</v>
      </c>
      <c r="G18">
        <v>70.551000000000002</v>
      </c>
    </row>
    <row r="19" spans="1:7" x14ac:dyDescent="0.25">
      <c r="A19" t="s">
        <v>38</v>
      </c>
      <c r="B19" t="s">
        <v>39</v>
      </c>
      <c r="C19" t="s">
        <v>40</v>
      </c>
      <c r="D19" t="s">
        <v>41</v>
      </c>
      <c r="E19" t="s">
        <v>42</v>
      </c>
      <c r="F19" t="s">
        <v>43</v>
      </c>
      <c r="G19" t="s">
        <v>44</v>
      </c>
    </row>
    <row r="20" spans="1:7" x14ac:dyDescent="0.25">
      <c r="A20" t="s">
        <v>50</v>
      </c>
      <c r="B20" t="s">
        <v>51</v>
      </c>
      <c r="C20" t="s">
        <v>49</v>
      </c>
      <c r="D20" t="s">
        <v>48</v>
      </c>
      <c r="E20" t="s">
        <v>47</v>
      </c>
      <c r="F20" t="s">
        <v>46</v>
      </c>
      <c r="G20" t="s">
        <v>57</v>
      </c>
    </row>
    <row r="21" spans="1:7" ht="16.8" x14ac:dyDescent="0.25">
      <c r="A21" t="s">
        <v>45</v>
      </c>
      <c r="B21" t="s">
        <v>52</v>
      </c>
    </row>
    <row r="22" spans="1:7" x14ac:dyDescent="0.25">
      <c r="A22" t="s">
        <v>53</v>
      </c>
      <c r="B22" t="s">
        <v>54</v>
      </c>
    </row>
    <row r="23" spans="1:7" x14ac:dyDescent="0.25">
      <c r="A23" t="s">
        <v>55</v>
      </c>
      <c r="B23" t="s">
        <v>56</v>
      </c>
    </row>
    <row r="24" spans="1:7" x14ac:dyDescent="0.25">
      <c r="A24">
        <f t="array" ref="A24:G28">LINEST(A3:A18,B3:G18,TRUE,TRUE)</f>
        <v>0.2312878507610322</v>
      </c>
      <c r="B24">
        <v>-1.4187985266905458</v>
      </c>
      <c r="C24">
        <v>-1.7370298379335791</v>
      </c>
      <c r="D24">
        <v>1.1161050494437158E-2</v>
      </c>
      <c r="E24">
        <v>3.6482913691927264E-2</v>
      </c>
      <c r="F24">
        <v>0.26352724693236285</v>
      </c>
      <c r="G24">
        <v>2946.8563601697156</v>
      </c>
    </row>
    <row r="25" spans="1:7" x14ac:dyDescent="0.25">
      <c r="A25">
        <v>1.3039408598163467</v>
      </c>
      <c r="B25">
        <v>2.9446024322663429</v>
      </c>
      <c r="C25">
        <v>0.67381526004668424</v>
      </c>
      <c r="D25">
        <v>1.5453486545788321E-2</v>
      </c>
      <c r="E25">
        <v>3.0244981736879072E-2</v>
      </c>
      <c r="F25">
        <v>0.10815103897373918</v>
      </c>
      <c r="G25">
        <v>5647.9765763418563</v>
      </c>
    </row>
    <row r="26" spans="1:7" x14ac:dyDescent="0.25">
      <c r="A26">
        <v>0.9926473958221339</v>
      </c>
      <c r="B26">
        <v>1.1946176655589802</v>
      </c>
      <c r="C26" t="e">
        <v>#N/A</v>
      </c>
      <c r="D26" t="e">
        <v>#N/A</v>
      </c>
      <c r="E26" t="e">
        <v>#N/A</v>
      </c>
      <c r="F26" t="e">
        <v>#N/A</v>
      </c>
      <c r="G26" t="e">
        <v>#N/A</v>
      </c>
    </row>
    <row r="27" spans="1:7" x14ac:dyDescent="0.25">
      <c r="A27">
        <v>202.5093501178184</v>
      </c>
      <c r="B27">
        <v>9</v>
      </c>
      <c r="C27" t="e">
        <v>#N/A</v>
      </c>
      <c r="D27" t="e">
        <v>#N/A</v>
      </c>
      <c r="E27" t="e">
        <v>#N/A</v>
      </c>
      <c r="F27" t="e">
        <v>#N/A</v>
      </c>
      <c r="G27" t="e">
        <v>#N/A</v>
      </c>
    </row>
    <row r="28" spans="1:7" x14ac:dyDescent="0.25">
      <c r="A28">
        <v>1734.0203726982095</v>
      </c>
      <c r="B28">
        <v>12.844002301790285</v>
      </c>
      <c r="C28" t="e">
        <v>#N/A</v>
      </c>
      <c r="D28" t="e">
        <v>#N/A</v>
      </c>
      <c r="E28" t="e">
        <v>#N/A</v>
      </c>
      <c r="F28" t="e">
        <v>#N/A</v>
      </c>
      <c r="G28" t="e">
        <v>#N/A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ABO-known gene freq</vt:lpstr>
      <vt:lpstr>Gene-Marker</vt:lpstr>
      <vt:lpstr>HWE</vt:lpstr>
      <vt:lpstr>ABO-unkown gene freq</vt:lpstr>
      <vt:lpstr>ContingencyTable</vt:lpstr>
      <vt:lpstr>LSE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2014-12-07T01:19:46Z</dcterms:modified>
</cp:coreProperties>
</file>