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4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4"/>
  </bookViews>
  <sheets>
    <sheet name="实习2单基因" sheetId="1" r:id="rId1"/>
    <sheet name="实习2多个等效基因" sheetId="2" r:id="rId2"/>
    <sheet name="实习3" sheetId="4" r:id="rId3"/>
    <sheet name="实习4方差分析" sheetId="5" r:id="rId4"/>
    <sheet name="实习4环境稳定性分析" sheetId="7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B13" i="7" l="1"/>
  <c r="J27" i="7"/>
  <c r="N16" i="7"/>
  <c r="M16" i="7"/>
  <c r="G16" i="7"/>
  <c r="G3" i="7"/>
  <c r="G2" i="7"/>
  <c r="L27" i="7"/>
  <c r="K27" i="7"/>
  <c r="I27" i="7"/>
  <c r="L26" i="7"/>
  <c r="K26" i="7"/>
  <c r="J26" i="7"/>
  <c r="I26" i="7"/>
  <c r="N25" i="7"/>
  <c r="M25" i="7"/>
  <c r="H25" i="7"/>
  <c r="G25" i="7"/>
  <c r="N24" i="7"/>
  <c r="M24" i="7"/>
  <c r="H24" i="7"/>
  <c r="G24" i="7"/>
  <c r="N23" i="7"/>
  <c r="M23" i="7"/>
  <c r="H23" i="7"/>
  <c r="G23" i="7"/>
  <c r="N22" i="7"/>
  <c r="M22" i="7"/>
  <c r="H22" i="7"/>
  <c r="G22" i="7"/>
  <c r="N21" i="7"/>
  <c r="M21" i="7"/>
  <c r="H21" i="7"/>
  <c r="G21" i="7"/>
  <c r="N20" i="7"/>
  <c r="M20" i="7"/>
  <c r="H20" i="7"/>
  <c r="G20" i="7"/>
  <c r="N19" i="7"/>
  <c r="M19" i="7"/>
  <c r="H19" i="7"/>
  <c r="G19" i="7"/>
  <c r="N18" i="7"/>
  <c r="M18" i="7"/>
  <c r="H18" i="7"/>
  <c r="G18" i="7"/>
  <c r="N17" i="7"/>
  <c r="M17" i="7"/>
  <c r="H17" i="7"/>
  <c r="G17" i="7"/>
  <c r="H16" i="7"/>
  <c r="E12" i="7"/>
  <c r="D12" i="7"/>
  <c r="D13" i="7" s="1"/>
  <c r="C12" i="7"/>
  <c r="C13" i="7" s="1"/>
  <c r="B12" i="7"/>
  <c r="G11" i="7"/>
  <c r="E11" i="7"/>
  <c r="F11" i="7" s="1"/>
  <c r="G10" i="7"/>
  <c r="E10" i="7"/>
  <c r="F10" i="7" s="1"/>
  <c r="G9" i="7"/>
  <c r="F9" i="7"/>
  <c r="E9" i="7"/>
  <c r="G8" i="7"/>
  <c r="E8" i="7"/>
  <c r="F8" i="7" s="1"/>
  <c r="G7" i="7"/>
  <c r="E7" i="7"/>
  <c r="F7" i="7" s="1"/>
  <c r="G6" i="7"/>
  <c r="E6" i="7"/>
  <c r="F6" i="7" s="1"/>
  <c r="G5" i="7"/>
  <c r="F5" i="7"/>
  <c r="K5" i="7" s="1"/>
  <c r="E5" i="7"/>
  <c r="G4" i="7"/>
  <c r="E4" i="7"/>
  <c r="F4" i="7" s="1"/>
  <c r="E3" i="7"/>
  <c r="F3" i="7" s="1"/>
  <c r="E2" i="7"/>
  <c r="F2" i="7" s="1"/>
  <c r="C30" i="5"/>
  <c r="D30" i="5" s="1"/>
  <c r="O30" i="5"/>
  <c r="J28" i="5"/>
  <c r="K13" i="5"/>
  <c r="N28" i="5"/>
  <c r="I28" i="5"/>
  <c r="I30" i="5"/>
  <c r="J30" i="5"/>
  <c r="K30" i="5"/>
  <c r="L30" i="5"/>
  <c r="M30" i="5"/>
  <c r="N30" i="5"/>
  <c r="K28" i="5"/>
  <c r="L28" i="5"/>
  <c r="M28" i="5"/>
  <c r="B35" i="5"/>
  <c r="B20" i="5"/>
  <c r="B34" i="5"/>
  <c r="B33" i="5"/>
  <c r="B32" i="5"/>
  <c r="B31" i="5"/>
  <c r="B30" i="5"/>
  <c r="J3" i="7" l="1"/>
  <c r="I3" i="7"/>
  <c r="K3" i="7"/>
  <c r="I10" i="7"/>
  <c r="K10" i="7"/>
  <c r="J10" i="7"/>
  <c r="J7" i="7"/>
  <c r="I7" i="7"/>
  <c r="K7" i="7"/>
  <c r="K4" i="7"/>
  <c r="J4" i="7"/>
  <c r="I4" i="7"/>
  <c r="J11" i="7"/>
  <c r="I11" i="7"/>
  <c r="K11" i="7"/>
  <c r="K8" i="7"/>
  <c r="J8" i="7"/>
  <c r="I8" i="7"/>
  <c r="I2" i="7"/>
  <c r="K2" i="7"/>
  <c r="J2" i="7"/>
  <c r="K9" i="7"/>
  <c r="I6" i="7"/>
  <c r="K6" i="7"/>
  <c r="J6" i="7"/>
  <c r="I5" i="7"/>
  <c r="I9" i="7"/>
  <c r="J5" i="7"/>
  <c r="J9" i="7"/>
  <c r="B24" i="5" l="1"/>
  <c r="N10" i="5"/>
  <c r="N13" i="5"/>
  <c r="C20" i="5" s="1"/>
  <c r="C35" i="5" s="1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M3" i="5"/>
  <c r="L3" i="5"/>
  <c r="K4" i="5"/>
  <c r="K5" i="5"/>
  <c r="N5" i="5" s="1"/>
  <c r="K6" i="5"/>
  <c r="N6" i="5" s="1"/>
  <c r="O6" i="5" s="1"/>
  <c r="K7" i="5"/>
  <c r="K8" i="5"/>
  <c r="K9" i="5"/>
  <c r="K10" i="5"/>
  <c r="K11" i="5"/>
  <c r="K12" i="5"/>
  <c r="K3" i="5"/>
  <c r="B19" i="5"/>
  <c r="B17" i="5"/>
  <c r="B18" i="5" s="1"/>
  <c r="E54" i="5"/>
  <c r="D54" i="5"/>
  <c r="C54" i="5"/>
  <c r="B54" i="5"/>
  <c r="G53" i="5"/>
  <c r="E53" i="5"/>
  <c r="F53" i="5" s="1"/>
  <c r="G52" i="5"/>
  <c r="E52" i="5"/>
  <c r="F52" i="5" s="1"/>
  <c r="G51" i="5"/>
  <c r="E51" i="5"/>
  <c r="F51" i="5" s="1"/>
  <c r="G50" i="5"/>
  <c r="E50" i="5"/>
  <c r="F50" i="5" s="1"/>
  <c r="G49" i="5"/>
  <c r="E49" i="5"/>
  <c r="F49" i="5" s="1"/>
  <c r="G48" i="5"/>
  <c r="E48" i="5"/>
  <c r="F48" i="5" s="1"/>
  <c r="G47" i="5"/>
  <c r="E47" i="5"/>
  <c r="F47" i="5" s="1"/>
  <c r="G46" i="5"/>
  <c r="E46" i="5"/>
  <c r="F46" i="5" s="1"/>
  <c r="G45" i="5"/>
  <c r="E45" i="5"/>
  <c r="F45" i="5" s="1"/>
  <c r="G44" i="5"/>
  <c r="E44" i="5"/>
  <c r="F44" i="5" s="1"/>
  <c r="B39" i="5"/>
  <c r="N8" i="5" l="1"/>
  <c r="O8" i="5" s="1"/>
  <c r="O10" i="5"/>
  <c r="K14" i="5"/>
  <c r="O5" i="5"/>
  <c r="N7" i="5"/>
  <c r="O7" i="5" s="1"/>
  <c r="R7" i="5" s="1"/>
  <c r="N12" i="5"/>
  <c r="O12" i="5" s="1"/>
  <c r="R12" i="5" s="1"/>
  <c r="N4" i="5"/>
  <c r="O4" i="5" s="1"/>
  <c r="S4" i="5" s="1"/>
  <c r="N11" i="5"/>
  <c r="O11" i="5" s="1"/>
  <c r="L13" i="5"/>
  <c r="L14" i="5" s="1"/>
  <c r="R6" i="5" s="1"/>
  <c r="M13" i="5"/>
  <c r="M14" i="5" s="1"/>
  <c r="S6" i="5" s="1"/>
  <c r="N9" i="5"/>
  <c r="O9" i="5" s="1"/>
  <c r="R9" i="5" s="1"/>
  <c r="B55" i="5"/>
  <c r="N3" i="5"/>
  <c r="O3" i="5" s="1"/>
  <c r="C55" i="5"/>
  <c r="D55" i="5"/>
  <c r="Q12" i="5" l="1"/>
  <c r="Q10" i="5"/>
  <c r="S8" i="5"/>
  <c r="S12" i="5"/>
  <c r="R5" i="5"/>
  <c r="S5" i="5"/>
  <c r="Q7" i="5"/>
  <c r="Q9" i="5"/>
  <c r="C17" i="5"/>
  <c r="Q6" i="5"/>
  <c r="R4" i="5"/>
  <c r="Q8" i="5"/>
  <c r="R8" i="5"/>
  <c r="S9" i="5"/>
  <c r="S7" i="5"/>
  <c r="S11" i="5"/>
  <c r="R11" i="5"/>
  <c r="Q11" i="5"/>
  <c r="S10" i="5"/>
  <c r="R10" i="5"/>
  <c r="Q4" i="5"/>
  <c r="C16" i="5"/>
  <c r="C31" i="5" s="1"/>
  <c r="D31" i="5" s="1"/>
  <c r="R3" i="5"/>
  <c r="S3" i="5"/>
  <c r="Q3" i="5"/>
  <c r="Q5" i="5"/>
  <c r="D17" i="5" l="1"/>
  <c r="C32" i="5"/>
  <c r="D32" i="5" s="1"/>
  <c r="C18" i="5"/>
  <c r="D16" i="5"/>
  <c r="D18" i="5" l="1"/>
  <c r="C33" i="5"/>
  <c r="D33" i="5" s="1"/>
  <c r="C19" i="5"/>
  <c r="D19" i="5" l="1"/>
  <c r="E16" i="5" s="1"/>
  <c r="F16" i="5" s="1"/>
  <c r="C34" i="5"/>
  <c r="D34" i="5" s="1"/>
  <c r="G33" i="5" s="1"/>
  <c r="B41" i="5"/>
  <c r="B26" i="5"/>
  <c r="E17" i="5"/>
  <c r="F17" i="5" s="1"/>
  <c r="E33" i="5" l="1"/>
  <c r="F33" i="5" s="1"/>
  <c r="G18" i="5"/>
  <c r="B40" i="5"/>
  <c r="E32" i="5"/>
  <c r="F32" i="5" s="1"/>
  <c r="G34" i="5"/>
  <c r="G32" i="5"/>
  <c r="E30" i="5"/>
  <c r="F30" i="5" s="1"/>
  <c r="G31" i="5"/>
  <c r="E31" i="5"/>
  <c r="F31" i="5" s="1"/>
  <c r="G30" i="5"/>
  <c r="B25" i="5"/>
  <c r="G19" i="5"/>
  <c r="G16" i="5"/>
  <c r="G17" i="5"/>
  <c r="E18" i="5"/>
  <c r="F18" i="5" s="1"/>
  <c r="M12" i="4"/>
  <c r="L12" i="4"/>
  <c r="O7" i="4"/>
  <c r="O6" i="4"/>
  <c r="O5" i="4"/>
  <c r="N5" i="4"/>
  <c r="L11" i="4"/>
  <c r="L10" i="4"/>
  <c r="M5" i="4"/>
  <c r="L8" i="4"/>
  <c r="N27" i="4"/>
  <c r="N23" i="4"/>
  <c r="N24" i="4"/>
  <c r="N25" i="4"/>
  <c r="N26" i="4"/>
  <c r="O27" i="4"/>
  <c r="N22" i="4"/>
  <c r="O26" i="4"/>
  <c r="O25" i="4"/>
  <c r="O24" i="4"/>
  <c r="S24" i="4" s="1"/>
  <c r="O23" i="4"/>
  <c r="O22" i="4"/>
  <c r="P22" i="4" s="1"/>
  <c r="B38" i="5" l="1"/>
  <c r="B37" i="5"/>
  <c r="B22" i="5"/>
  <c r="B23" i="5"/>
  <c r="M7" i="4"/>
  <c r="R22" i="4" l="1"/>
  <c r="F2" i="4"/>
  <c r="B22" i="4" l="1"/>
  <c r="B21" i="4"/>
  <c r="B20" i="4"/>
  <c r="D20" i="4"/>
  <c r="C20" i="4"/>
  <c r="D19" i="4"/>
  <c r="C19" i="4"/>
  <c r="B19" i="4"/>
  <c r="C10" i="4"/>
  <c r="D43" i="4" l="1"/>
  <c r="C43" i="4"/>
  <c r="B43" i="4"/>
  <c r="B34" i="4"/>
  <c r="A34" i="4"/>
  <c r="C34" i="4" s="1"/>
  <c r="D34" i="4" s="1"/>
  <c r="G31" i="4"/>
  <c r="K31" i="4" s="1"/>
  <c r="F31" i="4"/>
  <c r="C31" i="4"/>
  <c r="F30" i="4"/>
  <c r="G30" i="4" s="1"/>
  <c r="C30" i="4"/>
  <c r="I29" i="4"/>
  <c r="G29" i="4"/>
  <c r="K29" i="4" s="1"/>
  <c r="F29" i="4"/>
  <c r="C29" i="4"/>
  <c r="F28" i="4"/>
  <c r="G28" i="4" s="1"/>
  <c r="C28" i="4"/>
  <c r="F27" i="4"/>
  <c r="G27" i="4" s="1"/>
  <c r="C27" i="4"/>
  <c r="D46" i="4" s="1"/>
  <c r="F26" i="4"/>
  <c r="D44" i="4" s="1"/>
  <c r="C26" i="4"/>
  <c r="R24" i="4"/>
  <c r="B10" i="4"/>
  <c r="A10" i="4"/>
  <c r="D10" i="4" s="1"/>
  <c r="P7" i="4"/>
  <c r="J7" i="4"/>
  <c r="F7" i="4"/>
  <c r="C7" i="4"/>
  <c r="P6" i="4"/>
  <c r="J6" i="4"/>
  <c r="F6" i="4"/>
  <c r="C6" i="4"/>
  <c r="P5" i="4"/>
  <c r="J5" i="4"/>
  <c r="F5" i="4"/>
  <c r="C5" i="4"/>
  <c r="P4" i="4"/>
  <c r="P24" i="4" s="1"/>
  <c r="J4" i="4"/>
  <c r="F4" i="4"/>
  <c r="C4" i="4"/>
  <c r="P3" i="4"/>
  <c r="J3" i="4"/>
  <c r="F3" i="4"/>
  <c r="D21" i="4" s="1"/>
  <c r="D23" i="4" s="1"/>
  <c r="C3" i="4"/>
  <c r="D22" i="4" s="1"/>
  <c r="P2" i="4"/>
  <c r="J2" i="4"/>
  <c r="C2" i="4"/>
  <c r="K28" i="4" l="1"/>
  <c r="J28" i="4"/>
  <c r="I28" i="4"/>
  <c r="H28" i="4"/>
  <c r="Q22" i="4"/>
  <c r="S22" i="4"/>
  <c r="S25" i="4"/>
  <c r="R25" i="4"/>
  <c r="Q25" i="4"/>
  <c r="P25" i="4"/>
  <c r="M6" i="4"/>
  <c r="N6" i="4" s="1"/>
  <c r="R27" i="4"/>
  <c r="Q27" i="4"/>
  <c r="S27" i="4"/>
  <c r="P27" i="4"/>
  <c r="S26" i="4"/>
  <c r="R26" i="4"/>
  <c r="Q26" i="4"/>
  <c r="P26" i="4"/>
  <c r="B23" i="4"/>
  <c r="H27" i="4"/>
  <c r="I27" i="4"/>
  <c r="K27" i="4"/>
  <c r="J27" i="4"/>
  <c r="J30" i="4"/>
  <c r="K30" i="4"/>
  <c r="I30" i="4"/>
  <c r="H30" i="4"/>
  <c r="D45" i="4"/>
  <c r="D47" i="4" s="1"/>
  <c r="G26" i="4"/>
  <c r="H31" i="4"/>
  <c r="C22" i="4"/>
  <c r="I31" i="4"/>
  <c r="B46" i="4"/>
  <c r="H29" i="4"/>
  <c r="J31" i="4"/>
  <c r="C46" i="4"/>
  <c r="C21" i="4"/>
  <c r="C23" i="4" s="1"/>
  <c r="B44" i="4"/>
  <c r="B45" i="4" s="1"/>
  <c r="B47" i="4" s="1"/>
  <c r="P23" i="4"/>
  <c r="J29" i="4"/>
  <c r="C44" i="4"/>
  <c r="C45" i="4" s="1"/>
  <c r="Q24" i="4"/>
  <c r="N7" i="4" l="1"/>
  <c r="J26" i="4"/>
  <c r="K26" i="4"/>
  <c r="I26" i="4"/>
  <c r="H26" i="4"/>
  <c r="S23" i="4"/>
  <c r="R23" i="4"/>
  <c r="Q23" i="4"/>
  <c r="L9" i="4"/>
  <c r="C47" i="4"/>
  <c r="P4" i="2" l="1"/>
  <c r="Z5" i="2"/>
  <c r="Z6" i="2" s="1"/>
  <c r="Z7" i="2" s="1"/>
  <c r="Z8" i="2" s="1"/>
  <c r="Z9" i="2" s="1"/>
  <c r="Z10" i="2" s="1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Z49" i="2" s="1"/>
  <c r="Z50" i="2" s="1"/>
  <c r="Z51" i="2" s="1"/>
  <c r="R2" i="2"/>
  <c r="V2" i="2" s="1"/>
  <c r="Y3" i="2" s="1"/>
  <c r="Q2" i="2"/>
  <c r="T2" i="2" s="1"/>
  <c r="AA2" i="2"/>
  <c r="AB2" i="2" s="1"/>
  <c r="AC2" i="2" s="1"/>
  <c r="AA1" i="2"/>
  <c r="M18" i="2"/>
  <c r="F113" i="2" s="1"/>
  <c r="L18" i="2"/>
  <c r="F89" i="2" s="1"/>
  <c r="K18" i="2"/>
  <c r="F65" i="2" s="1"/>
  <c r="J18" i="2"/>
  <c r="F41" i="2" s="1"/>
  <c r="M17" i="2"/>
  <c r="F112" i="2" s="1"/>
  <c r="M16" i="2"/>
  <c r="F111" i="2" s="1"/>
  <c r="L16" i="2"/>
  <c r="F87" i="2" s="1"/>
  <c r="M15" i="2"/>
  <c r="F110" i="2" s="1"/>
  <c r="M14" i="2"/>
  <c r="F109" i="2" s="1"/>
  <c r="L14" i="2"/>
  <c r="F85" i="2" s="1"/>
  <c r="K14" i="2"/>
  <c r="F61" i="2" s="1"/>
  <c r="M13" i="2"/>
  <c r="F108" i="2" s="1"/>
  <c r="M12" i="2"/>
  <c r="F107" i="2" s="1"/>
  <c r="L12" i="2"/>
  <c r="F83" i="2" s="1"/>
  <c r="M11" i="2"/>
  <c r="F106" i="2" s="1"/>
  <c r="M10" i="2"/>
  <c r="F105" i="2" s="1"/>
  <c r="L10" i="2"/>
  <c r="F81" i="2" s="1"/>
  <c r="K10" i="2"/>
  <c r="F57" i="2" s="1"/>
  <c r="J10" i="2"/>
  <c r="F33" i="2" s="1"/>
  <c r="M9" i="2"/>
  <c r="F104" i="2" s="1"/>
  <c r="M8" i="2"/>
  <c r="F103" i="2" s="1"/>
  <c r="L8" i="2"/>
  <c r="F79" i="2" s="1"/>
  <c r="M7" i="2"/>
  <c r="F102" i="2" s="1"/>
  <c r="M6" i="2"/>
  <c r="F101" i="2" s="1"/>
  <c r="L6" i="2"/>
  <c r="F77" i="2" s="1"/>
  <c r="K6" i="2"/>
  <c r="F53" i="2" s="1"/>
  <c r="M5" i="2"/>
  <c r="F100" i="2" s="1"/>
  <c r="M4" i="2"/>
  <c r="F99" i="2" s="1"/>
  <c r="L4" i="2"/>
  <c r="F75" i="2" s="1"/>
  <c r="M3" i="2"/>
  <c r="F98" i="2" s="1"/>
  <c r="E3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M2" i="2"/>
  <c r="F97" i="2" s="1"/>
  <c r="L2" i="2"/>
  <c r="F73" i="2" s="1"/>
  <c r="K2" i="2"/>
  <c r="F49" i="2" s="1"/>
  <c r="J2" i="2"/>
  <c r="F25" i="2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N2" i="1"/>
  <c r="G2" i="1"/>
  <c r="J3" i="1" s="1"/>
  <c r="E2" i="1"/>
  <c r="M1" i="1" s="1"/>
  <c r="D2" i="1"/>
  <c r="L1" i="1" s="1"/>
  <c r="F2" i="1"/>
  <c r="N1" i="1" s="1"/>
  <c r="AB1" i="2" l="1"/>
  <c r="AC1" i="2" s="1"/>
  <c r="AD1" i="2" s="1"/>
  <c r="AE1" i="2" s="1"/>
  <c r="AA17" i="2"/>
  <c r="AD2" i="2"/>
  <c r="AA47" i="2"/>
  <c r="AA51" i="2"/>
  <c r="AA43" i="2"/>
  <c r="AA33" i="2"/>
  <c r="AA22" i="2"/>
  <c r="AA9" i="2"/>
  <c r="AA41" i="2"/>
  <c r="AA30" i="2"/>
  <c r="AA7" i="2"/>
  <c r="AA46" i="2"/>
  <c r="AA39" i="2"/>
  <c r="AA35" i="2"/>
  <c r="AA25" i="2"/>
  <c r="AA11" i="2"/>
  <c r="AA15" i="2"/>
  <c r="AA6" i="2"/>
  <c r="AA49" i="2"/>
  <c r="AA38" i="2"/>
  <c r="AA31" i="2"/>
  <c r="AA27" i="2"/>
  <c r="AA19" i="2"/>
  <c r="AA23" i="2"/>
  <c r="AA14" i="2"/>
  <c r="AA44" i="2"/>
  <c r="AA36" i="2"/>
  <c r="AA28" i="2"/>
  <c r="AA20" i="2"/>
  <c r="AA12" i="2"/>
  <c r="AA50" i="2"/>
  <c r="AA42" i="2"/>
  <c r="AA34" i="2"/>
  <c r="AA26" i="2"/>
  <c r="AA18" i="2"/>
  <c r="AA10" i="2"/>
  <c r="AA45" i="2"/>
  <c r="AA37" i="2"/>
  <c r="AA29" i="2"/>
  <c r="AA21" i="2"/>
  <c r="AA13" i="2"/>
  <c r="AA5" i="2"/>
  <c r="AA4" i="2"/>
  <c r="AA48" i="2"/>
  <c r="AA40" i="2"/>
  <c r="AA32" i="2"/>
  <c r="AA24" i="2"/>
  <c r="AA16" i="2"/>
  <c r="AA8" i="2"/>
  <c r="N4" i="1"/>
  <c r="N5" i="1"/>
  <c r="N13" i="1"/>
  <c r="N21" i="1"/>
  <c r="N29" i="1"/>
  <c r="N37" i="1"/>
  <c r="N45" i="1"/>
  <c r="N28" i="1"/>
  <c r="N36" i="1"/>
  <c r="N18" i="1"/>
  <c r="N8" i="1"/>
  <c r="N16" i="1"/>
  <c r="N24" i="1"/>
  <c r="N32" i="1"/>
  <c r="N40" i="1"/>
  <c r="N48" i="1"/>
  <c r="N44" i="1"/>
  <c r="N11" i="1"/>
  <c r="N19" i="1"/>
  <c r="N27" i="1"/>
  <c r="N35" i="1"/>
  <c r="N43" i="1"/>
  <c r="N51" i="1"/>
  <c r="N12" i="1"/>
  <c r="N50" i="1"/>
  <c r="N6" i="1"/>
  <c r="N14" i="1"/>
  <c r="N22" i="1"/>
  <c r="N30" i="1"/>
  <c r="N38" i="1"/>
  <c r="N46" i="1"/>
  <c r="N34" i="1"/>
  <c r="N9" i="1"/>
  <c r="N17" i="1"/>
  <c r="N25" i="1"/>
  <c r="N33" i="1"/>
  <c r="N41" i="1"/>
  <c r="N49" i="1"/>
  <c r="N20" i="1"/>
  <c r="N10" i="1"/>
  <c r="N26" i="1"/>
  <c r="N7" i="1"/>
  <c r="N15" i="1"/>
  <c r="N23" i="1"/>
  <c r="N31" i="1"/>
  <c r="N39" i="1"/>
  <c r="N47" i="1"/>
  <c r="N42" i="1"/>
  <c r="M2" i="1"/>
  <c r="AD14" i="2" l="1"/>
  <c r="AC41" i="2"/>
  <c r="AB28" i="2"/>
  <c r="AC49" i="2"/>
  <c r="AB19" i="2"/>
  <c r="AB35" i="2"/>
  <c r="AB51" i="2"/>
  <c r="AB16" i="2"/>
  <c r="AB32" i="2"/>
  <c r="AB48" i="2"/>
  <c r="AC16" i="2"/>
  <c r="AC32" i="2"/>
  <c r="AC48" i="2"/>
  <c r="AD5" i="2"/>
  <c r="AD21" i="2"/>
  <c r="AD37" i="2"/>
  <c r="AD10" i="2"/>
  <c r="AB14" i="2"/>
  <c r="AC45" i="2"/>
  <c r="AC31" i="2"/>
  <c r="AD39" i="2"/>
  <c r="AB46" i="2"/>
  <c r="AB22" i="2"/>
  <c r="AD43" i="2"/>
  <c r="AC18" i="2"/>
  <c r="AC5" i="2"/>
  <c r="AB20" i="2"/>
  <c r="AB36" i="2"/>
  <c r="AB29" i="2"/>
  <c r="AC39" i="2"/>
  <c r="AC22" i="2"/>
  <c r="AC38" i="2"/>
  <c r="AC19" i="2"/>
  <c r="AC35" i="2"/>
  <c r="AC51" i="2"/>
  <c r="AB7" i="2"/>
  <c r="AB23" i="2"/>
  <c r="AB39" i="2"/>
  <c r="AD18" i="2"/>
  <c r="AB30" i="2"/>
  <c r="AB38" i="2"/>
  <c r="AC28" i="2"/>
  <c r="AB50" i="2"/>
  <c r="AB33" i="2"/>
  <c r="AC25" i="2"/>
  <c r="AD11" i="2"/>
  <c r="AC34" i="2"/>
  <c r="AD33" i="2"/>
  <c r="AD46" i="2"/>
  <c r="AB45" i="2"/>
  <c r="AB18" i="2"/>
  <c r="AC12" i="2"/>
  <c r="AD48" i="2"/>
  <c r="AD19" i="2"/>
  <c r="AD35" i="2"/>
  <c r="AD51" i="2"/>
  <c r="AC10" i="2"/>
  <c r="AC26" i="2"/>
  <c r="AC42" i="2"/>
  <c r="AD7" i="2"/>
  <c r="AB34" i="2"/>
  <c r="AC23" i="2"/>
  <c r="AD4" i="2"/>
  <c r="AB42" i="2"/>
  <c r="AD31" i="2"/>
  <c r="AB12" i="2"/>
  <c r="AB17" i="2"/>
  <c r="AB44" i="2"/>
  <c r="AC33" i="2"/>
  <c r="AD27" i="2"/>
  <c r="AC15" i="2"/>
  <c r="AC17" i="2"/>
  <c r="AD49" i="2"/>
  <c r="AB13" i="2"/>
  <c r="AD24" i="2"/>
  <c r="AC9" i="2"/>
  <c r="AC21" i="2"/>
  <c r="AD9" i="2"/>
  <c r="AD25" i="2"/>
  <c r="AD41" i="2"/>
  <c r="AD6" i="2"/>
  <c r="AD22" i="2"/>
  <c r="AD38" i="2"/>
  <c r="AB5" i="2"/>
  <c r="AB21" i="2"/>
  <c r="AB37" i="2"/>
  <c r="AD8" i="2"/>
  <c r="AD15" i="2"/>
  <c r="AB41" i="2"/>
  <c r="AB49" i="2"/>
  <c r="AD20" i="2"/>
  <c r="AC29" i="2"/>
  <c r="AC13" i="2"/>
  <c r="AC44" i="2"/>
  <c r="AB11" i="2"/>
  <c r="AB43" i="2"/>
  <c r="AB24" i="2"/>
  <c r="AC8" i="2"/>
  <c r="AC24" i="2"/>
  <c r="AC40" i="2"/>
  <c r="AD16" i="2"/>
  <c r="AD13" i="2"/>
  <c r="AD29" i="2"/>
  <c r="AD45" i="2"/>
  <c r="AD23" i="2"/>
  <c r="AD44" i="2"/>
  <c r="AB10" i="2"/>
  <c r="AB6" i="2"/>
  <c r="AB25" i="2"/>
  <c r="AC37" i="2"/>
  <c r="AB26" i="2"/>
  <c r="AC47" i="2"/>
  <c r="AD40" i="2"/>
  <c r="AC50" i="2"/>
  <c r="AD17" i="2"/>
  <c r="AD30" i="2"/>
  <c r="AB4" i="2"/>
  <c r="AC20" i="2"/>
  <c r="AB27" i="2"/>
  <c r="AB8" i="2"/>
  <c r="AB40" i="2"/>
  <c r="AC14" i="2"/>
  <c r="AC30" i="2"/>
  <c r="AC46" i="2"/>
  <c r="AC11" i="2"/>
  <c r="AC27" i="2"/>
  <c r="AC43" i="2"/>
  <c r="AD32" i="2"/>
  <c r="AB15" i="2"/>
  <c r="AB31" i="2"/>
  <c r="AB47" i="2"/>
  <c r="AB9" i="2"/>
  <c r="AC4" i="2"/>
  <c r="AD34" i="2"/>
  <c r="AD42" i="2"/>
  <c r="AD28" i="2"/>
  <c r="AC7" i="2"/>
  <c r="AC36" i="2"/>
  <c r="AC6" i="2"/>
  <c r="AE2" i="2"/>
  <c r="AD47" i="2"/>
  <c r="AD12" i="2"/>
  <c r="AD26" i="2"/>
  <c r="AD36" i="2"/>
  <c r="AD50" i="2"/>
  <c r="L2" i="1"/>
  <c r="M10" i="1"/>
  <c r="M18" i="1"/>
  <c r="M26" i="1"/>
  <c r="M34" i="1"/>
  <c r="M42" i="1"/>
  <c r="M50" i="1"/>
  <c r="M49" i="1"/>
  <c r="M31" i="1"/>
  <c r="M5" i="1"/>
  <c r="M13" i="1"/>
  <c r="M21" i="1"/>
  <c r="M29" i="1"/>
  <c r="M37" i="1"/>
  <c r="M45" i="1"/>
  <c r="M17" i="1"/>
  <c r="M15" i="1"/>
  <c r="M8" i="1"/>
  <c r="M16" i="1"/>
  <c r="M24" i="1"/>
  <c r="M32" i="1"/>
  <c r="M40" i="1"/>
  <c r="M48" i="1"/>
  <c r="M25" i="1"/>
  <c r="M23" i="1"/>
  <c r="M39" i="1"/>
  <c r="M11" i="1"/>
  <c r="M19" i="1"/>
  <c r="M27" i="1"/>
  <c r="M35" i="1"/>
  <c r="M43" i="1"/>
  <c r="M51" i="1"/>
  <c r="M41" i="1"/>
  <c r="M6" i="1"/>
  <c r="M14" i="1"/>
  <c r="M22" i="1"/>
  <c r="M30" i="1"/>
  <c r="M38" i="1"/>
  <c r="M46" i="1"/>
  <c r="M9" i="1"/>
  <c r="M33" i="1"/>
  <c r="M47" i="1"/>
  <c r="M12" i="1"/>
  <c r="M20" i="1"/>
  <c r="M28" i="1"/>
  <c r="M36" i="1"/>
  <c r="M44" i="1"/>
  <c r="M4" i="1"/>
  <c r="M7" i="1"/>
  <c r="AE12" i="2" l="1"/>
  <c r="AF12" i="2" s="1"/>
  <c r="AE29" i="2"/>
  <c r="AF29" i="2" s="1"/>
  <c r="AE39" i="2"/>
  <c r="AF39" i="2" s="1"/>
  <c r="AE7" i="2"/>
  <c r="AF7" i="2" s="1"/>
  <c r="AE50" i="2"/>
  <c r="AF50" i="2" s="1"/>
  <c r="AE42" i="2"/>
  <c r="AF42" i="2" s="1"/>
  <c r="AE26" i="2"/>
  <c r="AF26" i="2" s="1"/>
  <c r="AE51" i="2"/>
  <c r="AF51" i="2" s="1"/>
  <c r="AE49" i="2"/>
  <c r="AF49" i="2" s="1"/>
  <c r="AE36" i="2"/>
  <c r="AF36" i="2" s="1"/>
  <c r="AE45" i="2"/>
  <c r="AF45" i="2" s="1"/>
  <c r="AE10" i="2"/>
  <c r="AF10" i="2" s="1"/>
  <c r="AE24" i="2"/>
  <c r="AF24" i="2" s="1"/>
  <c r="AE9" i="2"/>
  <c r="AF9" i="2" s="1"/>
  <c r="AE11" i="2"/>
  <c r="AF11" i="2" s="1"/>
  <c r="AE43" i="2"/>
  <c r="AF43" i="2" s="1"/>
  <c r="AE22" i="2"/>
  <c r="AF22" i="2" s="1"/>
  <c r="AE46" i="2"/>
  <c r="AF46" i="2" s="1"/>
  <c r="AE33" i="2"/>
  <c r="AF33" i="2" s="1"/>
  <c r="AE17" i="2"/>
  <c r="AF17" i="2" s="1"/>
  <c r="AE47" i="2"/>
  <c r="AF47" i="2" s="1"/>
  <c r="AE48" i="2"/>
  <c r="AF48" i="2" s="1"/>
  <c r="AE20" i="2"/>
  <c r="AF20" i="2" s="1"/>
  <c r="AE41" i="2"/>
  <c r="AF41" i="2" s="1"/>
  <c r="AE19" i="2"/>
  <c r="AF19" i="2" s="1"/>
  <c r="AE23" i="2"/>
  <c r="AF23" i="2" s="1"/>
  <c r="AE31" i="2"/>
  <c r="AF31" i="2" s="1"/>
  <c r="AE21" i="2"/>
  <c r="AF21" i="2" s="1"/>
  <c r="AE8" i="2"/>
  <c r="AF8" i="2" s="1"/>
  <c r="AE35" i="2"/>
  <c r="AF35" i="2" s="1"/>
  <c r="AE6" i="2"/>
  <c r="AF6" i="2" s="1"/>
  <c r="AE44" i="2"/>
  <c r="AF44" i="2" s="1"/>
  <c r="AE25" i="2"/>
  <c r="AF25" i="2" s="1"/>
  <c r="AE34" i="2"/>
  <c r="AF34" i="2" s="1"/>
  <c r="AE32" i="2"/>
  <c r="AF32" i="2" s="1"/>
  <c r="AE30" i="2"/>
  <c r="AF30" i="2" s="1"/>
  <c r="AE28" i="2"/>
  <c r="AF28" i="2" s="1"/>
  <c r="AE15" i="2"/>
  <c r="AF15" i="2" s="1"/>
  <c r="AE40" i="2"/>
  <c r="AF40" i="2" s="1"/>
  <c r="AE37" i="2"/>
  <c r="AF37" i="2" s="1"/>
  <c r="AE13" i="2"/>
  <c r="AF13" i="2" s="1"/>
  <c r="AE4" i="2"/>
  <c r="AF4" i="2" s="1"/>
  <c r="AE5" i="2"/>
  <c r="AF5" i="2" s="1"/>
  <c r="AE38" i="2"/>
  <c r="AF38" i="2" s="1"/>
  <c r="AE16" i="2"/>
  <c r="AF16" i="2" s="1"/>
  <c r="AE14" i="2"/>
  <c r="AF14" i="2" s="1"/>
  <c r="AE27" i="2"/>
  <c r="AF27" i="2" s="1"/>
  <c r="AE18" i="2"/>
  <c r="AF18" i="2" s="1"/>
  <c r="L7" i="1"/>
  <c r="O7" i="1" s="1"/>
  <c r="L15" i="1"/>
  <c r="O15" i="1" s="1"/>
  <c r="L23" i="1"/>
  <c r="O23" i="1" s="1"/>
  <c r="L31" i="1"/>
  <c r="O31" i="1" s="1"/>
  <c r="L39" i="1"/>
  <c r="O39" i="1" s="1"/>
  <c r="L47" i="1"/>
  <c r="O47" i="1" s="1"/>
  <c r="L14" i="1"/>
  <c r="O14" i="1" s="1"/>
  <c r="L44" i="1"/>
  <c r="O44" i="1" s="1"/>
  <c r="L10" i="1"/>
  <c r="O10" i="1" s="1"/>
  <c r="L18" i="1"/>
  <c r="O18" i="1" s="1"/>
  <c r="L26" i="1"/>
  <c r="O26" i="1" s="1"/>
  <c r="L34" i="1"/>
  <c r="O34" i="1" s="1"/>
  <c r="L42" i="1"/>
  <c r="O42" i="1" s="1"/>
  <c r="L50" i="1"/>
  <c r="O50" i="1" s="1"/>
  <c r="L6" i="1"/>
  <c r="O6" i="1" s="1"/>
  <c r="L30" i="1"/>
  <c r="O30" i="1" s="1"/>
  <c r="L36" i="1"/>
  <c r="O36" i="1" s="1"/>
  <c r="L5" i="1"/>
  <c r="O5" i="1" s="1"/>
  <c r="L13" i="1"/>
  <c r="O13" i="1" s="1"/>
  <c r="L21" i="1"/>
  <c r="O21" i="1" s="1"/>
  <c r="L29" i="1"/>
  <c r="O29" i="1" s="1"/>
  <c r="L37" i="1"/>
  <c r="O37" i="1" s="1"/>
  <c r="L45" i="1"/>
  <c r="O45" i="1" s="1"/>
  <c r="L38" i="1"/>
  <c r="O38" i="1" s="1"/>
  <c r="L4" i="1"/>
  <c r="O4" i="1" s="1"/>
  <c r="L8" i="1"/>
  <c r="O8" i="1" s="1"/>
  <c r="L16" i="1"/>
  <c r="O16" i="1" s="1"/>
  <c r="L24" i="1"/>
  <c r="O24" i="1" s="1"/>
  <c r="L32" i="1"/>
  <c r="O32" i="1" s="1"/>
  <c r="L40" i="1"/>
  <c r="O40" i="1" s="1"/>
  <c r="L48" i="1"/>
  <c r="O48" i="1" s="1"/>
  <c r="L22" i="1"/>
  <c r="O22" i="1" s="1"/>
  <c r="L12" i="1"/>
  <c r="O12" i="1" s="1"/>
  <c r="L11" i="1"/>
  <c r="O11" i="1" s="1"/>
  <c r="L19" i="1"/>
  <c r="O19" i="1" s="1"/>
  <c r="L27" i="1"/>
  <c r="O27" i="1" s="1"/>
  <c r="L35" i="1"/>
  <c r="O35" i="1" s="1"/>
  <c r="L43" i="1"/>
  <c r="O43" i="1" s="1"/>
  <c r="L51" i="1"/>
  <c r="O51" i="1" s="1"/>
  <c r="L46" i="1"/>
  <c r="O46" i="1" s="1"/>
  <c r="L9" i="1"/>
  <c r="O9" i="1" s="1"/>
  <c r="L17" i="1"/>
  <c r="O17" i="1" s="1"/>
  <c r="L25" i="1"/>
  <c r="O25" i="1" s="1"/>
  <c r="L33" i="1"/>
  <c r="O33" i="1" s="1"/>
  <c r="L41" i="1"/>
  <c r="O41" i="1" s="1"/>
  <c r="L49" i="1"/>
  <c r="O49" i="1" s="1"/>
  <c r="L20" i="1"/>
  <c r="O20" i="1" s="1"/>
  <c r="L28" i="1"/>
  <c r="O28" i="1" s="1"/>
</calcChain>
</file>

<file path=xl/sharedStrings.xml><?xml version="1.0" encoding="utf-8"?>
<sst xmlns="http://schemas.openxmlformats.org/spreadsheetml/2006/main" count="415" uniqueCount="185">
  <si>
    <t>a</t>
    <phoneticPr fontId="1" type="noConversion"/>
  </si>
  <si>
    <t>F2</t>
    <phoneticPr fontId="1" type="noConversion"/>
  </si>
  <si>
    <t>mu</t>
    <phoneticPr fontId="1" type="noConversion"/>
  </si>
  <si>
    <t>P1</t>
    <phoneticPr fontId="1" type="noConversion"/>
  </si>
  <si>
    <t>F1</t>
    <phoneticPr fontId="1" type="noConversion"/>
  </si>
  <si>
    <t>P2</t>
    <phoneticPr fontId="1" type="noConversion"/>
  </si>
  <si>
    <t>均值</t>
    <phoneticPr fontId="1" type="noConversion"/>
  </si>
  <si>
    <t>方差</t>
    <phoneticPr fontId="1" type="noConversion"/>
  </si>
  <si>
    <t>Var</t>
    <phoneticPr fontId="1" type="noConversion"/>
  </si>
  <si>
    <t>单基因</t>
    <phoneticPr fontId="1" type="noConversion"/>
  </si>
  <si>
    <t>遗传力</t>
    <phoneticPr fontId="1" type="noConversion"/>
  </si>
  <si>
    <t>Ve</t>
    <phoneticPr fontId="1" type="noConversion"/>
  </si>
  <si>
    <t>性状</t>
    <phoneticPr fontId="1" type="noConversion"/>
  </si>
  <si>
    <t>加性模型</t>
    <phoneticPr fontId="1" type="noConversion"/>
  </si>
  <si>
    <t>加性模型</t>
    <phoneticPr fontId="1" type="noConversion"/>
  </si>
  <si>
    <t>概率</t>
    <phoneticPr fontId="1" type="noConversion"/>
  </si>
  <si>
    <t>基因</t>
    <phoneticPr fontId="1" type="noConversion"/>
  </si>
  <si>
    <t>表型</t>
    <phoneticPr fontId="1" type="noConversion"/>
  </si>
  <si>
    <t>一个等位基因的效应</t>
    <phoneticPr fontId="1" type="noConversion"/>
  </si>
  <si>
    <t>2基因</t>
    <phoneticPr fontId="1" type="noConversion"/>
  </si>
  <si>
    <t>世代</t>
  </si>
  <si>
    <t>株数</t>
    <phoneticPr fontId="1" type="noConversion"/>
  </si>
  <si>
    <t>样本均值</t>
    <phoneticPr fontId="1" type="noConversion"/>
  </si>
  <si>
    <t>样本方差</t>
    <phoneticPr fontId="1" type="noConversion"/>
  </si>
  <si>
    <t>狭义遗传力</t>
    <phoneticPr fontId="1" type="noConversion"/>
  </si>
  <si>
    <t>Y</t>
    <phoneticPr fontId="1" type="noConversion"/>
  </si>
  <si>
    <t>SUMMARY OUTPUT</t>
  </si>
  <si>
    <r>
      <t>P</t>
    </r>
    <r>
      <rPr>
        <vertAlign val="subscript"/>
        <sz val="10.5"/>
        <color theme="1"/>
        <rFont val="Times New Roman"/>
        <family val="1"/>
      </rPr>
      <t>1</t>
    </r>
  </si>
  <si>
    <r>
      <t>P</t>
    </r>
    <r>
      <rPr>
        <vertAlign val="subscript"/>
        <sz val="10.5"/>
        <color theme="1"/>
        <rFont val="Times New Roman"/>
        <family val="1"/>
      </rPr>
      <t>2</t>
    </r>
  </si>
  <si>
    <t>回归统计</t>
  </si>
  <si>
    <r>
      <t>F</t>
    </r>
    <r>
      <rPr>
        <vertAlign val="subscript"/>
        <sz val="10.5"/>
        <color theme="1"/>
        <rFont val="Times New Roman"/>
        <family val="1"/>
      </rPr>
      <t>1</t>
    </r>
  </si>
  <si>
    <t>Multiple R</t>
  </si>
  <si>
    <r>
      <t>B</t>
    </r>
    <r>
      <rPr>
        <vertAlign val="subscript"/>
        <sz val="10.5"/>
        <color theme="1"/>
        <rFont val="Times New Roman"/>
        <family val="1"/>
      </rPr>
      <t>1</t>
    </r>
  </si>
  <si>
    <t>R Square</t>
  </si>
  <si>
    <r>
      <t>B</t>
    </r>
    <r>
      <rPr>
        <vertAlign val="subscript"/>
        <sz val="10.5"/>
        <color theme="1"/>
        <rFont val="Times New Roman"/>
        <family val="1"/>
      </rPr>
      <t>2</t>
    </r>
  </si>
  <si>
    <t>Adjusted R Square</t>
  </si>
  <si>
    <r>
      <t>F</t>
    </r>
    <r>
      <rPr>
        <vertAlign val="subscript"/>
        <sz val="10.5"/>
        <color theme="1"/>
        <rFont val="Times New Roman"/>
        <family val="1"/>
      </rPr>
      <t>2</t>
    </r>
  </si>
  <si>
    <t>标准误差</t>
  </si>
  <si>
    <t>观测值</t>
  </si>
  <si>
    <t>方差分析</t>
  </si>
  <si>
    <t>df</t>
  </si>
  <si>
    <t>SS</t>
  </si>
  <si>
    <t>MS</t>
  </si>
  <si>
    <t>F</t>
  </si>
  <si>
    <t>Significance F</t>
  </si>
  <si>
    <t>回归分析</t>
  </si>
  <si>
    <t>残差</t>
  </si>
  <si>
    <t>总计</t>
  </si>
  <si>
    <t>Coefficients</t>
  </si>
  <si>
    <t>t Stat</t>
  </si>
  <si>
    <t>P-value</t>
  </si>
  <si>
    <t>Lower 95%</t>
  </si>
  <si>
    <t>Upper 95%</t>
  </si>
  <si>
    <t>下限 95.0%</t>
  </si>
  <si>
    <t>上限 95.0%</t>
  </si>
  <si>
    <t>Intercept</t>
  </si>
  <si>
    <t>X Variable 1</t>
  </si>
  <si>
    <t>X Variable 2</t>
  </si>
  <si>
    <t>X Variable 3</t>
  </si>
  <si>
    <t>株数</t>
  </si>
  <si>
    <t>自由度</t>
    <phoneticPr fontId="1" type="noConversion"/>
  </si>
  <si>
    <t>样本均值的方差</t>
    <phoneticPr fontId="1" type="noConversion"/>
  </si>
  <si>
    <t>遗传方差</t>
    <phoneticPr fontId="1" type="noConversion"/>
  </si>
  <si>
    <t>广义遗传力</t>
    <phoneticPr fontId="1" type="noConversion"/>
  </si>
  <si>
    <t>m</t>
    <phoneticPr fontId="1" type="noConversion"/>
  </si>
  <si>
    <t>d</t>
    <phoneticPr fontId="1" type="noConversion"/>
  </si>
  <si>
    <t>单基因模型</t>
    <phoneticPr fontId="1" type="noConversion"/>
  </si>
  <si>
    <t>误差方差</t>
    <phoneticPr fontId="1" type="noConversion"/>
  </si>
  <si>
    <t>m</t>
    <phoneticPr fontId="1" type="noConversion"/>
  </si>
  <si>
    <t>a</t>
    <phoneticPr fontId="1" type="noConversion"/>
  </si>
  <si>
    <t>d</t>
    <phoneticPr fontId="1" type="noConversion"/>
  </si>
  <si>
    <t>d/a</t>
    <phoneticPr fontId="1" type="noConversion"/>
  </si>
  <si>
    <t>加性方差</t>
    <phoneticPr fontId="1" type="noConversion"/>
  </si>
  <si>
    <t>显性方差</t>
    <phoneticPr fontId="1" type="noConversion"/>
  </si>
  <si>
    <t>平均显性度</t>
    <phoneticPr fontId="1" type="noConversion"/>
  </si>
  <si>
    <t>简单尺度检验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</si>
  <si>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</si>
  <si>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</si>
  <si>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</si>
  <si>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有效因子数</t>
    <phoneticPr fontId="1" type="noConversion"/>
  </si>
  <si>
    <t>A值</t>
    <phoneticPr fontId="1" type="noConversion"/>
  </si>
  <si>
    <t>样本方差</t>
    <phoneticPr fontId="1" type="noConversion"/>
  </si>
  <si>
    <t>加权最小二乘回归</t>
    <phoneticPr fontId="1" type="noConversion"/>
  </si>
  <si>
    <t>T值</t>
    <phoneticPr fontId="1" type="noConversion"/>
  </si>
  <si>
    <t>均值方差</t>
    <phoneticPr fontId="1" type="noConversion"/>
  </si>
  <si>
    <t>权重</t>
    <phoneticPr fontId="1" type="noConversion"/>
  </si>
  <si>
    <t>Y</t>
    <phoneticPr fontId="1" type="noConversion"/>
  </si>
  <si>
    <t>m</t>
    <phoneticPr fontId="1" type="noConversion"/>
  </si>
  <si>
    <t>a</t>
    <phoneticPr fontId="1" type="noConversion"/>
  </si>
  <si>
    <t>自由度</t>
    <phoneticPr fontId="1" type="noConversion"/>
  </si>
  <si>
    <t>P值</t>
    <phoneticPr fontId="1" type="noConversion"/>
  </si>
  <si>
    <t>Keseary P19</t>
    <phoneticPr fontId="1" type="noConversion"/>
  </si>
  <si>
    <t>自由度</t>
    <phoneticPr fontId="1" type="noConversion"/>
  </si>
  <si>
    <t>样本方差</t>
    <phoneticPr fontId="1" type="noConversion"/>
  </si>
  <si>
    <t>样本均值的方差</t>
    <phoneticPr fontId="1" type="noConversion"/>
  </si>
  <si>
    <t>权重</t>
    <phoneticPr fontId="1" type="noConversion"/>
  </si>
  <si>
    <t>Y</t>
    <phoneticPr fontId="1" type="noConversion"/>
  </si>
  <si>
    <t>a</t>
    <phoneticPr fontId="1" type="noConversion"/>
  </si>
  <si>
    <t>d</t>
    <phoneticPr fontId="1" type="noConversion"/>
  </si>
  <si>
    <t>单基因模型</t>
    <phoneticPr fontId="1" type="noConversion"/>
  </si>
  <si>
    <t>d/a</t>
    <phoneticPr fontId="1" type="noConversion"/>
  </si>
  <si>
    <t>简单尺度检验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</si>
  <si>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</si>
  <si>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</si>
  <si>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</si>
  <si>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A值</t>
    <phoneticPr fontId="1" type="noConversion"/>
  </si>
  <si>
    <t>T值</t>
    <phoneticPr fontId="1" type="noConversion"/>
  </si>
  <si>
    <t>自由度</t>
    <phoneticPr fontId="1" type="noConversion"/>
  </si>
  <si>
    <t>P值</t>
    <phoneticPr fontId="1" type="noConversion"/>
  </si>
  <si>
    <t>加权最小二乘回归</t>
    <phoneticPr fontId="1" type="noConversion"/>
  </si>
  <si>
    <t>图6.3</t>
    <phoneticPr fontId="1" type="noConversion"/>
  </si>
  <si>
    <t>图6.4</t>
    <phoneticPr fontId="1" type="noConversion"/>
  </si>
  <si>
    <t>表7.7</t>
    <phoneticPr fontId="1" type="noConversion"/>
  </si>
  <si>
    <t>表7.3</t>
    <phoneticPr fontId="1" type="noConversion"/>
  </si>
  <si>
    <t>环境I</t>
    <phoneticPr fontId="1" type="noConversion"/>
  </si>
  <si>
    <t>环境II</t>
    <phoneticPr fontId="1" type="noConversion"/>
  </si>
  <si>
    <t>环境III</t>
    <phoneticPr fontId="1" type="noConversion"/>
  </si>
  <si>
    <t>重复1</t>
    <phoneticPr fontId="1" type="noConversion"/>
  </si>
  <si>
    <t>重复1</t>
    <phoneticPr fontId="1" type="noConversion"/>
  </si>
  <si>
    <t>重复2</t>
  </si>
  <si>
    <t>RIL1</t>
  </si>
  <si>
    <t>RIL2</t>
  </si>
  <si>
    <t>RIL3</t>
  </si>
  <si>
    <t>RIL4</t>
  </si>
  <si>
    <t>RIL5</t>
  </si>
  <si>
    <t>RIL6</t>
  </si>
  <si>
    <t>RIL7</t>
  </si>
  <si>
    <t>RIL8</t>
  </si>
  <si>
    <t>RIL9</t>
  </si>
  <si>
    <t>RIL10</t>
  </si>
  <si>
    <t>表9.6</t>
    <phoneticPr fontId="1" type="noConversion"/>
  </si>
  <si>
    <t>变异来源</t>
  </si>
  <si>
    <t>自由度</t>
  </si>
  <si>
    <t>平方和</t>
  </si>
  <si>
    <t>均方</t>
  </si>
  <si>
    <r>
      <t>F</t>
    </r>
    <r>
      <rPr>
        <sz val="10"/>
        <color rgb="FF000000"/>
        <rFont val="宋体"/>
        <family val="3"/>
        <charset val="134"/>
      </rPr>
      <t>值</t>
    </r>
  </si>
  <si>
    <t>显著概率</t>
  </si>
  <si>
    <t>方差估计值</t>
  </si>
  <si>
    <t>基因型</t>
  </si>
  <si>
    <t>环境</t>
  </si>
  <si>
    <t>基因型与环境互作</t>
  </si>
  <si>
    <t>随机误差</t>
  </si>
  <si>
    <t>总和</t>
  </si>
  <si>
    <t>平均数遗传力</t>
    <phoneticPr fontId="1" type="noConversion"/>
  </si>
  <si>
    <t>T</t>
    <phoneticPr fontId="1" type="noConversion"/>
  </si>
  <si>
    <t>LSD</t>
    <phoneticPr fontId="1" type="noConversion"/>
  </si>
  <si>
    <t>表9.7</t>
    <phoneticPr fontId="1" type="noConversion"/>
  </si>
  <si>
    <t>环境内区组</t>
  </si>
  <si>
    <t>遗传力</t>
    <phoneticPr fontId="1" type="noConversion"/>
  </si>
  <si>
    <r>
      <t>表</t>
    </r>
    <r>
      <rPr>
        <sz val="10.5"/>
        <color theme="1"/>
        <rFont val="Times New Roman"/>
        <family val="1"/>
      </rPr>
      <t>9.8</t>
    </r>
    <phoneticPr fontId="1" type="noConversion"/>
  </si>
  <si>
    <t>环境1</t>
    <phoneticPr fontId="1" type="noConversion"/>
  </si>
  <si>
    <t>环境3</t>
    <phoneticPr fontId="1" type="noConversion"/>
  </si>
  <si>
    <t>环境2</t>
    <phoneticPr fontId="1" type="noConversion"/>
  </si>
  <si>
    <t>行平均</t>
    <phoneticPr fontId="1" type="noConversion"/>
  </si>
  <si>
    <t>行效应</t>
    <phoneticPr fontId="1" type="noConversion"/>
  </si>
  <si>
    <t>回归系数</t>
    <phoneticPr fontId="1" type="noConversion"/>
  </si>
  <si>
    <t>GE互作</t>
    <phoneticPr fontId="1" type="noConversion"/>
  </si>
  <si>
    <t>列平均</t>
    <phoneticPr fontId="1" type="noConversion"/>
  </si>
  <si>
    <t>列效应</t>
    <phoneticPr fontId="1" type="noConversion"/>
  </si>
  <si>
    <t>环境1</t>
  </si>
  <si>
    <t>环境2</t>
  </si>
  <si>
    <t>环境3</t>
  </si>
  <si>
    <t>行平均</t>
  </si>
  <si>
    <t>行平均</t>
    <phoneticPr fontId="1" type="noConversion"/>
  </si>
  <si>
    <t>列平均</t>
  </si>
  <si>
    <t>列平均</t>
    <phoneticPr fontId="1" type="noConversion"/>
  </si>
  <si>
    <t>行效应</t>
    <phoneticPr fontId="1" type="noConversion"/>
  </si>
  <si>
    <t>列效应</t>
    <phoneticPr fontId="1" type="noConversion"/>
  </si>
  <si>
    <t>GE</t>
    <phoneticPr fontId="1" type="noConversion"/>
  </si>
  <si>
    <t>环境3</t>
    <phoneticPr fontId="1" type="noConversion"/>
  </si>
  <si>
    <t>行平均</t>
    <phoneticPr fontId="1" type="noConversion"/>
  </si>
  <si>
    <t>行效应</t>
    <phoneticPr fontId="1" type="noConversion"/>
  </si>
  <si>
    <r>
      <t>表</t>
    </r>
    <r>
      <rPr>
        <sz val="10.5"/>
        <color theme="1"/>
        <rFont val="Times New Roman"/>
        <family val="1"/>
      </rPr>
      <t>9.10</t>
    </r>
  </si>
  <si>
    <t>基因型</t>
    <phoneticPr fontId="1" type="noConversion"/>
  </si>
  <si>
    <t>基因型效应</t>
    <phoneticPr fontId="1" type="noConversion"/>
  </si>
  <si>
    <t>对列平均</t>
    <phoneticPr fontId="1" type="noConversion"/>
  </si>
  <si>
    <t>对环境效应</t>
    <phoneticPr fontId="1" type="noConversion"/>
  </si>
  <si>
    <t>GE互作</t>
  </si>
  <si>
    <t>对环境效应</t>
    <phoneticPr fontId="1" type="noConversion"/>
  </si>
  <si>
    <t>环境效应</t>
    <phoneticPr fontId="1" type="noConversion"/>
  </si>
  <si>
    <t>基因型值</t>
    <phoneticPr fontId="1" type="noConversion"/>
  </si>
  <si>
    <t>回归系数</t>
  </si>
  <si>
    <r>
      <t>表</t>
    </r>
    <r>
      <rPr>
        <sz val="10.5"/>
        <color theme="1"/>
        <rFont val="Times New Roman"/>
        <family val="1"/>
      </rPr>
      <t>9.11</t>
    </r>
    <phoneticPr fontId="1" type="noConversion"/>
  </si>
  <si>
    <t>Finlay-Wilkinson</t>
  </si>
  <si>
    <t>Eberhart-Russell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</si>
</sst>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_ "/>
    <numFmt numFmtId="177" formatCode="0.00_ "/>
    <numFmt numFmtId="182" formatCode="0.0_ 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vertAlign val="subscript"/>
      <sz val="10.5"/>
      <color theme="1"/>
      <name val="Times New Roman"/>
      <family val="1"/>
    </font>
    <font>
      <sz val="10.5"/>
      <color theme="1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0.5"/>
      <color theme="1"/>
      <name val="Calibri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0" fillId="0" borderId="0" xfId="0" applyFill="1"/>
    <xf numFmtId="0" fontId="0" fillId="2" borderId="0" xfId="0" applyFill="1"/>
    <xf numFmtId="176" fontId="0" fillId="0" borderId="0" xfId="0" applyNumberFormat="1"/>
    <xf numFmtId="177" fontId="0" fillId="0" borderId="0" xfId="0" applyNumberFormat="1"/>
    <xf numFmtId="0" fontId="0" fillId="0" borderId="2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1" xfId="0" applyFill="1" applyBorder="1" applyAlignment="1"/>
    <xf numFmtId="0" fontId="0" fillId="0" borderId="2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1" xfId="0" applyFill="1" applyBorder="1" applyAlignment="1"/>
    <xf numFmtId="182" fontId="0" fillId="0" borderId="0" xfId="0" applyNumberFormat="1"/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2" borderId="0" xfId="0" applyFont="1" applyFill="1"/>
    <xf numFmtId="177" fontId="0" fillId="2" borderId="0" xfId="0" applyNumberFormat="1" applyFill="1"/>
    <xf numFmtId="0" fontId="6" fillId="2" borderId="0" xfId="0" applyFont="1" applyFill="1" applyAlignment="1">
      <alignment horizontal="left" vertical="center"/>
    </xf>
    <xf numFmtId="0" fontId="4" fillId="0" borderId="0" xfId="0" applyFont="1"/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4442038495188101E-2"/>
          <c:y val="0.13055555555555556"/>
          <c:w val="0.88135192475940505"/>
          <c:h val="0.7157487605715952"/>
        </c:manualLayout>
      </c:layout>
      <c:lineChart>
        <c:grouping val="standard"/>
        <c:varyColors val="0"/>
        <c:ser>
          <c:idx val="0"/>
          <c:order val="0"/>
          <c:tx>
            <c:strRef>
              <c:f>实习2单基因!$O$3</c:f>
              <c:strCache>
                <c:ptCount val="1"/>
                <c:pt idx="0">
                  <c:v>概率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实习2单基因!$K$3:$K$51</c:f>
              <c:strCache>
                <c:ptCount val="49"/>
                <c:pt idx="0">
                  <c:v>性状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</c:strCache>
            </c:strRef>
          </c:cat>
          <c:val>
            <c:numRef>
              <c:f>实习2单基因!$O$4:$O$51</c:f>
              <c:numCache>
                <c:formatCode>General</c:formatCode>
                <c:ptCount val="48"/>
                <c:pt idx="0">
                  <c:v>6.3153388544211159E-16</c:v>
                </c:pt>
                <c:pt idx="1">
                  <c:v>3.042900666286262E-14</c:v>
                </c:pt>
                <c:pt idx="2">
                  <c:v>1.1418400510455748E-12</c:v>
                </c:pt>
                <c:pt idx="3">
                  <c:v>3.3369457684535765E-11</c:v>
                </c:pt>
                <c:pt idx="4">
                  <c:v>7.5948535622792999E-10</c:v>
                </c:pt>
                <c:pt idx="5">
                  <c:v>1.3462200053181615E-8</c:v>
                </c:pt>
                <c:pt idx="6">
                  <c:v>1.858399393420442E-7</c:v>
                </c:pt>
                <c:pt idx="7">
                  <c:v>1.9979676383835999E-6</c:v>
                </c:pt>
                <c:pt idx="8">
                  <c:v>1.6728778221873739E-5</c:v>
                </c:pt>
                <c:pt idx="9">
                  <c:v>1.0908533694157804E-4</c:v>
                </c:pt>
                <c:pt idx="10">
                  <c:v>5.5398105377593102E-4</c:v>
                </c:pt>
                <c:pt idx="11">
                  <c:v>2.1910376284349827E-3</c:v>
                </c:pt>
                <c:pt idx="12">
                  <c:v>6.7488723331192201E-3</c:v>
                </c:pt>
                <c:pt idx="13">
                  <c:v>1.6189726382636573E-2</c:v>
                </c:pt>
                <c:pt idx="14">
                  <c:v>3.0246712244771604E-2</c:v>
                </c:pt>
                <c:pt idx="15">
                  <c:v>4.4012161780814178E-2</c:v>
                </c:pt>
                <c:pt idx="16">
                  <c:v>4.9901242606620939E-2</c:v>
                </c:pt>
                <c:pt idx="17">
                  <c:v>4.4226336519329307E-2</c:v>
                </c:pt>
                <c:pt idx="18">
                  <c:v>3.1354302669019264E-2</c:v>
                </c:pt>
                <c:pt idx="19">
                  <c:v>2.057177461499806E-2</c:v>
                </c:pt>
                <c:pt idx="20">
                  <c:v>2.0246613201930878E-2</c:v>
                </c:pt>
                <c:pt idx="21">
                  <c:v>3.4570449940369057E-2</c:v>
                </c:pt>
                <c:pt idx="22">
                  <c:v>6.1046848021217431E-2</c:v>
                </c:pt>
                <c:pt idx="23">
                  <c:v>8.812741499559397E-2</c:v>
                </c:pt>
                <c:pt idx="24">
                  <c:v>9.9769027656799389E-2</c:v>
                </c:pt>
                <c:pt idx="25">
                  <c:v>8.812741499559397E-2</c:v>
                </c:pt>
                <c:pt idx="26">
                  <c:v>6.1046848021217431E-2</c:v>
                </c:pt>
                <c:pt idx="27">
                  <c:v>3.4570449940369057E-2</c:v>
                </c:pt>
                <c:pt idx="28">
                  <c:v>2.0246613201930878E-2</c:v>
                </c:pt>
                <c:pt idx="29">
                  <c:v>2.057177461499806E-2</c:v>
                </c:pt>
                <c:pt idx="30">
                  <c:v>3.1354302669019257E-2</c:v>
                </c:pt>
                <c:pt idx="31">
                  <c:v>4.4226336519329307E-2</c:v>
                </c:pt>
                <c:pt idx="32">
                  <c:v>4.9901242606620939E-2</c:v>
                </c:pt>
                <c:pt idx="33">
                  <c:v>4.4012161780814171E-2</c:v>
                </c:pt>
                <c:pt idx="34">
                  <c:v>3.0246712244771604E-2</c:v>
                </c:pt>
                <c:pt idx="35">
                  <c:v>1.6189726382636573E-2</c:v>
                </c:pt>
                <c:pt idx="36">
                  <c:v>6.7488723331192201E-3</c:v>
                </c:pt>
                <c:pt idx="37">
                  <c:v>2.1910376284349827E-3</c:v>
                </c:pt>
                <c:pt idx="38">
                  <c:v>5.5398105377593102E-4</c:v>
                </c:pt>
                <c:pt idx="39">
                  <c:v>1.0908533694157804E-4</c:v>
                </c:pt>
                <c:pt idx="40">
                  <c:v>1.6728778221873739E-5</c:v>
                </c:pt>
                <c:pt idx="41">
                  <c:v>1.9979676383835999E-6</c:v>
                </c:pt>
                <c:pt idx="42">
                  <c:v>1.858399393420442E-7</c:v>
                </c:pt>
                <c:pt idx="43">
                  <c:v>1.3462200053181615E-8</c:v>
                </c:pt>
                <c:pt idx="44">
                  <c:v>7.5948535622792999E-10</c:v>
                </c:pt>
                <c:pt idx="45">
                  <c:v>3.3369457684535765E-11</c:v>
                </c:pt>
                <c:pt idx="46">
                  <c:v>1.1418400510455748E-12</c:v>
                </c:pt>
                <c:pt idx="47">
                  <c:v>3.042900666286262E-14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9C6-4275-8A2F-8BC1115EA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590216"/>
        <c:axId val="90586296"/>
      </c:lineChart>
      <c:catAx>
        <c:axId val="9059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0586296"/>
        <c:crosses val="autoZero"/>
        <c:auto val="1"/>
        <c:lblAlgn val="ctr"/>
        <c:lblOffset val="100"/>
        <c:noMultiLvlLbl val="0"/>
      </c:catAx>
      <c:valAx>
        <c:axId val="90586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059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实习2多个等效基因!$AF$3</c:f>
              <c:strCache>
                <c:ptCount val="1"/>
                <c:pt idx="0">
                  <c:v>概率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实习2多个等效基因!$AF$4:$AF$51</c:f>
              <c:numCache>
                <c:formatCode>General</c:formatCode>
                <c:ptCount val="48"/>
                <c:pt idx="0">
                  <c:v>1.5788348097877619E-16</c:v>
                </c:pt>
                <c:pt idx="1">
                  <c:v>7.6072529254575805E-15</c:v>
                </c:pt>
                <c:pt idx="2">
                  <c:v>2.8546014125856361E-13</c:v>
                </c:pt>
                <c:pt idx="3">
                  <c:v>8.342374628928538E-12</c:v>
                </c:pt>
                <c:pt idx="4">
                  <c:v>1.8987197059087755E-10</c:v>
                </c:pt>
                <c:pt idx="5">
                  <c:v>3.3655804423033264E-9</c:v>
                </c:pt>
                <c:pt idx="6">
                  <c:v>4.6461126675690592E-8</c:v>
                </c:pt>
                <c:pt idx="7">
                  <c:v>4.9952527906379233E-7</c:v>
                </c:pt>
                <c:pt idx="8">
                  <c:v>4.1829540414561959E-6</c:v>
                </c:pt>
                <c:pt idx="9">
                  <c:v>2.7284796465876692E-5</c:v>
                </c:pt>
                <c:pt idx="10">
                  <c:v>1.3868110452516474E-4</c:v>
                </c:pt>
                <c:pt idx="11">
                  <c:v>5.4975740811657678E-4</c:v>
                </c:pt>
                <c:pt idx="12">
                  <c:v>1.7039476209864035E-3</c:v>
                </c:pt>
                <c:pt idx="13">
                  <c:v>4.156530394770346E-3</c:v>
                </c:pt>
                <c:pt idx="14">
                  <c:v>8.1158449537663338E-3</c:v>
                </c:pt>
                <c:pt idx="15">
                  <c:v>1.3196076007907433E-2</c:v>
                </c:pt>
                <c:pt idx="16">
                  <c:v>1.9240911003509713E-2</c:v>
                </c:pt>
                <c:pt idx="17">
                  <c:v>2.735538238714957E-2</c:v>
                </c:pt>
                <c:pt idx="18">
                  <c:v>3.8639083123579325E-2</c:v>
                </c:pt>
                <c:pt idx="19">
                  <c:v>5.1344145028621384E-2</c:v>
                </c:pt>
                <c:pt idx="20">
                  <c:v>6.1695037943030932E-2</c:v>
                </c:pt>
                <c:pt idx="21">
                  <c:v>6.8949563125746904E-2</c:v>
                </c:pt>
                <c:pt idx="22">
                  <c:v>7.6308374186582442E-2</c:v>
                </c:pt>
                <c:pt idx="23">
                  <c:v>8.4420756614368486E-2</c:v>
                </c:pt>
                <c:pt idx="24">
                  <c:v>8.8307783592675951E-2</c:v>
                </c:pt>
                <c:pt idx="25">
                  <c:v>8.4420756614368458E-2</c:v>
                </c:pt>
                <c:pt idx="26">
                  <c:v>7.6308374186582442E-2</c:v>
                </c:pt>
                <c:pt idx="27">
                  <c:v>6.8949563125746891E-2</c:v>
                </c:pt>
                <c:pt idx="28">
                  <c:v>6.1695037943030925E-2</c:v>
                </c:pt>
                <c:pt idx="29">
                  <c:v>5.1344145028621391E-2</c:v>
                </c:pt>
                <c:pt idx="30">
                  <c:v>3.8639083123579332E-2</c:v>
                </c:pt>
                <c:pt idx="31">
                  <c:v>2.7355382387149567E-2</c:v>
                </c:pt>
                <c:pt idx="32">
                  <c:v>1.9240911003509709E-2</c:v>
                </c:pt>
                <c:pt idx="33">
                  <c:v>1.3196076007907433E-2</c:v>
                </c:pt>
                <c:pt idx="34">
                  <c:v>8.1158449537663338E-3</c:v>
                </c:pt>
                <c:pt idx="35">
                  <c:v>4.156530394770346E-3</c:v>
                </c:pt>
                <c:pt idx="36">
                  <c:v>1.7039476209864035E-3</c:v>
                </c:pt>
                <c:pt idx="37">
                  <c:v>5.4975740811657678E-4</c:v>
                </c:pt>
                <c:pt idx="38">
                  <c:v>1.3868110452516474E-4</c:v>
                </c:pt>
                <c:pt idx="39">
                  <c:v>2.7284796465876695E-5</c:v>
                </c:pt>
                <c:pt idx="40">
                  <c:v>4.1829540414561968E-6</c:v>
                </c:pt>
                <c:pt idx="41">
                  <c:v>4.9952527906379233E-7</c:v>
                </c:pt>
                <c:pt idx="42">
                  <c:v>4.6461126675690592E-8</c:v>
                </c:pt>
                <c:pt idx="43">
                  <c:v>3.3655804423033264E-9</c:v>
                </c:pt>
                <c:pt idx="44">
                  <c:v>1.8987197059087755E-10</c:v>
                </c:pt>
                <c:pt idx="45">
                  <c:v>8.342374628928538E-12</c:v>
                </c:pt>
                <c:pt idx="46">
                  <c:v>2.8546014125856361E-13</c:v>
                </c:pt>
                <c:pt idx="47">
                  <c:v>7.6072529254575805E-15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919-40A4-AD1F-73FADCC0E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990080"/>
        <c:axId val="587990472"/>
      </c:lineChart>
      <c:catAx>
        <c:axId val="58799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87990472"/>
        <c:crosses val="autoZero"/>
        <c:auto val="1"/>
        <c:lblAlgn val="ctr"/>
        <c:lblOffset val="100"/>
        <c:noMultiLvlLbl val="0"/>
      </c:catAx>
      <c:valAx>
        <c:axId val="587990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8799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9632765569574"/>
          <c:y val="5.5401794835525799E-2"/>
          <c:w val="0.58930761996996361"/>
          <c:h val="0.81562308453958221"/>
        </c:manualLayout>
      </c:layout>
      <c:lineChart>
        <c:grouping val="standard"/>
        <c:varyColors val="0"/>
        <c:ser>
          <c:idx val="0"/>
          <c:order val="0"/>
          <c:tx>
            <c:strRef>
              <c:f>实习4环境稳定性分析!$A$16</c:f>
              <c:strCache>
                <c:ptCount val="1"/>
                <c:pt idx="0">
                  <c:v>RIL6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strRef>
              <c:f>实习4环境稳定性分析!$B$1:$D$1</c:f>
              <c:strCache>
                <c:ptCount val="3"/>
                <c:pt idx="0">
                  <c:v>环境1</c:v>
                </c:pt>
                <c:pt idx="1">
                  <c:v>环境3</c:v>
                </c:pt>
                <c:pt idx="2">
                  <c:v>环境2</c:v>
                </c:pt>
              </c:strCache>
            </c:strRef>
          </c:cat>
          <c:val>
            <c:numRef>
              <c:f>实习4环境稳定性分析!$B$16:$D$16</c:f>
              <c:numCache>
                <c:formatCode>0.00_ </c:formatCode>
                <c:ptCount val="3"/>
                <c:pt idx="0">
                  <c:v>15.55</c:v>
                </c:pt>
                <c:pt idx="1">
                  <c:v>16.5</c:v>
                </c:pt>
                <c:pt idx="2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A-4F23-A864-25C4DB466C74}"/>
            </c:ext>
          </c:extLst>
        </c:ser>
        <c:ser>
          <c:idx val="1"/>
          <c:order val="1"/>
          <c:tx>
            <c:strRef>
              <c:f>实习4环境稳定性分析!$A$17</c:f>
              <c:strCache>
                <c:ptCount val="1"/>
                <c:pt idx="0">
                  <c:v>RIL5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diamond"/>
            <c:size val="7"/>
            <c:spPr>
              <a:solidFill>
                <a:schemeClr val="tx1"/>
              </a:solidFill>
            </c:spPr>
          </c:marker>
          <c:cat>
            <c:strRef>
              <c:f>实习4环境稳定性分析!$B$1:$D$1</c:f>
              <c:strCache>
                <c:ptCount val="3"/>
                <c:pt idx="0">
                  <c:v>环境1</c:v>
                </c:pt>
                <c:pt idx="1">
                  <c:v>环境3</c:v>
                </c:pt>
                <c:pt idx="2">
                  <c:v>环境2</c:v>
                </c:pt>
              </c:strCache>
            </c:strRef>
          </c:cat>
          <c:val>
            <c:numRef>
              <c:f>实习4环境稳定性分析!$B$17:$D$17</c:f>
              <c:numCache>
                <c:formatCode>0.00_ </c:formatCode>
                <c:ptCount val="3"/>
                <c:pt idx="0">
                  <c:v>15.65</c:v>
                </c:pt>
                <c:pt idx="1">
                  <c:v>15.5</c:v>
                </c:pt>
                <c:pt idx="2">
                  <c:v>16.649999999999999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A-4F23-A864-25C4DB466C74}"/>
            </c:ext>
          </c:extLst>
        </c:ser>
        <c:ser>
          <c:idx val="2"/>
          <c:order val="2"/>
          <c:tx>
            <c:strRef>
              <c:f>实习4环境稳定性分析!$A$18</c:f>
              <c:strCache>
                <c:ptCount val="1"/>
                <c:pt idx="0">
                  <c:v>RIL2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triangle"/>
            <c:size val="7"/>
            <c:spPr>
              <a:solidFill>
                <a:schemeClr val="tx1"/>
              </a:solidFill>
            </c:spPr>
          </c:marker>
          <c:cat>
            <c:strRef>
              <c:f>实习4环境稳定性分析!$B$1:$D$1</c:f>
              <c:strCache>
                <c:ptCount val="3"/>
                <c:pt idx="0">
                  <c:v>环境1</c:v>
                </c:pt>
                <c:pt idx="1">
                  <c:v>环境3</c:v>
                </c:pt>
                <c:pt idx="2">
                  <c:v>环境2</c:v>
                </c:pt>
              </c:strCache>
            </c:strRef>
          </c:cat>
          <c:val>
            <c:numRef>
              <c:f>实习4环境稳定性分析!$B$18:$D$18</c:f>
              <c:numCache>
                <c:formatCode>0.00_ </c:formatCode>
                <c:ptCount val="3"/>
                <c:pt idx="0">
                  <c:v>14.75</c:v>
                </c:pt>
                <c:pt idx="1">
                  <c:v>16</c:v>
                </c:pt>
                <c:pt idx="2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7A-4F23-A864-25C4DB466C74}"/>
            </c:ext>
          </c:extLst>
        </c:ser>
        <c:ser>
          <c:idx val="3"/>
          <c:order val="3"/>
          <c:tx>
            <c:strRef>
              <c:f>实习4环境稳定性分析!$A$19</c:f>
              <c:strCache>
                <c:ptCount val="1"/>
                <c:pt idx="0">
                  <c:v>RIL3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circle"/>
            <c:size val="7"/>
            <c:spPr>
              <a:solidFill>
                <a:schemeClr val="tx1"/>
              </a:solidFill>
            </c:spPr>
          </c:marker>
          <c:cat>
            <c:strRef>
              <c:f>实习4环境稳定性分析!$B$1:$D$1</c:f>
              <c:strCache>
                <c:ptCount val="3"/>
                <c:pt idx="0">
                  <c:v>环境1</c:v>
                </c:pt>
                <c:pt idx="1">
                  <c:v>环境3</c:v>
                </c:pt>
                <c:pt idx="2">
                  <c:v>环境2</c:v>
                </c:pt>
              </c:strCache>
            </c:strRef>
          </c:cat>
          <c:val>
            <c:numRef>
              <c:f>实习4环境稳定性分析!$B$19:$D$19</c:f>
              <c:numCache>
                <c:formatCode>0.00_ </c:formatCode>
                <c:ptCount val="3"/>
                <c:pt idx="0">
                  <c:v>14.45</c:v>
                </c:pt>
                <c:pt idx="1">
                  <c:v>15.65</c:v>
                </c:pt>
                <c:pt idx="2">
                  <c:v>15.85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7A-4F23-A864-25C4DB466C74}"/>
            </c:ext>
          </c:extLst>
        </c:ser>
        <c:ser>
          <c:idx val="4"/>
          <c:order val="4"/>
          <c:tx>
            <c:strRef>
              <c:f>实习4环境稳定性分析!$A$20</c:f>
              <c:strCache>
                <c:ptCount val="1"/>
                <c:pt idx="0">
                  <c:v>RIL4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cat>
            <c:strRef>
              <c:f>实习4环境稳定性分析!$B$1:$D$1</c:f>
              <c:strCache>
                <c:ptCount val="3"/>
                <c:pt idx="0">
                  <c:v>环境1</c:v>
                </c:pt>
                <c:pt idx="1">
                  <c:v>环境3</c:v>
                </c:pt>
                <c:pt idx="2">
                  <c:v>环境2</c:v>
                </c:pt>
              </c:strCache>
            </c:strRef>
          </c:cat>
          <c:val>
            <c:numRef>
              <c:f>实习4环境稳定性分析!$B$20:$D$20</c:f>
              <c:numCache>
                <c:formatCode>0.00_ </c:formatCode>
                <c:ptCount val="3"/>
                <c:pt idx="0">
                  <c:v>13.6</c:v>
                </c:pt>
                <c:pt idx="1">
                  <c:v>15.25</c:v>
                </c:pt>
                <c:pt idx="2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7A-4F23-A864-25C4DB466C74}"/>
            </c:ext>
          </c:extLst>
        </c:ser>
        <c:ser>
          <c:idx val="5"/>
          <c:order val="5"/>
          <c:tx>
            <c:strRef>
              <c:f>实习4环境稳定性分析!$A$21</c:f>
              <c:strCache>
                <c:ptCount val="1"/>
                <c:pt idx="0">
                  <c:v>RIL1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diamond"/>
            <c:size val="7"/>
            <c:spPr>
              <a:noFill/>
              <a:ln w="15875">
                <a:solidFill>
                  <a:schemeClr val="tx1"/>
                </a:solidFill>
              </a:ln>
            </c:spPr>
          </c:marker>
          <c:cat>
            <c:strRef>
              <c:f>实习4环境稳定性分析!$B$1:$D$1</c:f>
              <c:strCache>
                <c:ptCount val="3"/>
                <c:pt idx="0">
                  <c:v>环境1</c:v>
                </c:pt>
                <c:pt idx="1">
                  <c:v>环境3</c:v>
                </c:pt>
                <c:pt idx="2">
                  <c:v>环境2</c:v>
                </c:pt>
              </c:strCache>
            </c:strRef>
          </c:cat>
          <c:val>
            <c:numRef>
              <c:f>实习4环境稳定性分析!$B$21:$D$21</c:f>
              <c:numCache>
                <c:formatCode>0.00_ </c:formatCode>
                <c:ptCount val="3"/>
                <c:pt idx="0">
                  <c:v>15.2</c:v>
                </c:pt>
                <c:pt idx="1">
                  <c:v>14.65</c:v>
                </c:pt>
                <c:pt idx="2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7A-4F23-A864-25C4DB466C74}"/>
            </c:ext>
          </c:extLst>
        </c:ser>
        <c:ser>
          <c:idx val="6"/>
          <c:order val="6"/>
          <c:tx>
            <c:strRef>
              <c:f>实习4环境稳定性分析!$A$22</c:f>
              <c:strCache>
                <c:ptCount val="1"/>
                <c:pt idx="0">
                  <c:v>RIL9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triangle"/>
            <c:size val="7"/>
            <c:spPr>
              <a:noFill/>
              <a:ln w="19050">
                <a:solidFill>
                  <a:schemeClr val="tx1"/>
                </a:solidFill>
              </a:ln>
            </c:spPr>
          </c:marker>
          <c:cat>
            <c:strRef>
              <c:f>实习4环境稳定性分析!$B$1:$D$1</c:f>
              <c:strCache>
                <c:ptCount val="3"/>
                <c:pt idx="0">
                  <c:v>环境1</c:v>
                </c:pt>
                <c:pt idx="1">
                  <c:v>环境3</c:v>
                </c:pt>
                <c:pt idx="2">
                  <c:v>环境2</c:v>
                </c:pt>
              </c:strCache>
            </c:strRef>
          </c:cat>
          <c:val>
            <c:numRef>
              <c:f>实习4环境稳定性分析!$B$22:$D$22</c:f>
              <c:numCache>
                <c:formatCode>0.00_ </c:formatCode>
                <c:ptCount val="3"/>
                <c:pt idx="0">
                  <c:v>13.15</c:v>
                </c:pt>
                <c:pt idx="1">
                  <c:v>15.4</c:v>
                </c:pt>
                <c:pt idx="2">
                  <c:v>14.55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7A-4F23-A864-25C4DB466C74}"/>
            </c:ext>
          </c:extLst>
        </c:ser>
        <c:ser>
          <c:idx val="7"/>
          <c:order val="7"/>
          <c:tx>
            <c:strRef>
              <c:f>实习4环境稳定性分析!$A$23</c:f>
              <c:strCache>
                <c:ptCount val="1"/>
                <c:pt idx="0">
                  <c:v>RIL7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circle"/>
            <c:size val="7"/>
            <c:spPr>
              <a:noFill/>
              <a:ln w="19050">
                <a:solidFill>
                  <a:schemeClr val="tx1"/>
                </a:solidFill>
              </a:ln>
            </c:spPr>
          </c:marker>
          <c:cat>
            <c:strRef>
              <c:f>实习4环境稳定性分析!$B$1:$D$1</c:f>
              <c:strCache>
                <c:ptCount val="3"/>
                <c:pt idx="0">
                  <c:v>环境1</c:v>
                </c:pt>
                <c:pt idx="1">
                  <c:v>环境3</c:v>
                </c:pt>
                <c:pt idx="2">
                  <c:v>环境2</c:v>
                </c:pt>
              </c:strCache>
            </c:strRef>
          </c:cat>
          <c:val>
            <c:numRef>
              <c:f>实习4环境稳定性分析!$B$23:$D$23</c:f>
              <c:numCache>
                <c:formatCode>0.00_ </c:formatCode>
                <c:ptCount val="3"/>
                <c:pt idx="0">
                  <c:v>13.65</c:v>
                </c:pt>
                <c:pt idx="1">
                  <c:v>14.3</c:v>
                </c:pt>
                <c:pt idx="2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A7A-4F23-A864-25C4DB466C74}"/>
            </c:ext>
          </c:extLst>
        </c:ser>
        <c:ser>
          <c:idx val="8"/>
          <c:order val="8"/>
          <c:tx>
            <c:strRef>
              <c:f>实习4环境稳定性分析!$A$24</c:f>
              <c:strCache>
                <c:ptCount val="1"/>
                <c:pt idx="0">
                  <c:v>RIL10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square"/>
            <c:size val="5"/>
            <c:spPr>
              <a:noFill/>
              <a:ln w="19050">
                <a:solidFill>
                  <a:schemeClr val="tx1"/>
                </a:solidFill>
              </a:ln>
            </c:spPr>
          </c:marker>
          <c:cat>
            <c:strRef>
              <c:f>实习4环境稳定性分析!$B$1:$D$1</c:f>
              <c:strCache>
                <c:ptCount val="3"/>
                <c:pt idx="0">
                  <c:v>环境1</c:v>
                </c:pt>
                <c:pt idx="1">
                  <c:v>环境3</c:v>
                </c:pt>
                <c:pt idx="2">
                  <c:v>环境2</c:v>
                </c:pt>
              </c:strCache>
            </c:strRef>
          </c:cat>
          <c:val>
            <c:numRef>
              <c:f>实习4环境稳定性分析!$B$24:$D$24</c:f>
              <c:numCache>
                <c:formatCode>0.00_ </c:formatCode>
                <c:ptCount val="3"/>
                <c:pt idx="0">
                  <c:v>13.2</c:v>
                </c:pt>
                <c:pt idx="1">
                  <c:v>14.2</c:v>
                </c:pt>
                <c:pt idx="2">
                  <c:v>15.05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A7A-4F23-A864-25C4DB466C74}"/>
            </c:ext>
          </c:extLst>
        </c:ser>
        <c:ser>
          <c:idx val="9"/>
          <c:order val="9"/>
          <c:tx>
            <c:strRef>
              <c:f>实习4环境稳定性分析!$A$25</c:f>
              <c:strCache>
                <c:ptCount val="1"/>
                <c:pt idx="0">
                  <c:v>RIL8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triangle"/>
            <c:size val="7"/>
            <c:spPr>
              <a:noFill/>
              <a:ln w="19050">
                <a:solidFill>
                  <a:schemeClr val="tx1"/>
                </a:solidFill>
              </a:ln>
            </c:spPr>
          </c:marker>
          <c:cat>
            <c:strRef>
              <c:f>实习4环境稳定性分析!$B$1:$D$1</c:f>
              <c:strCache>
                <c:ptCount val="3"/>
                <c:pt idx="0">
                  <c:v>环境1</c:v>
                </c:pt>
                <c:pt idx="1">
                  <c:v>环境3</c:v>
                </c:pt>
                <c:pt idx="2">
                  <c:v>环境2</c:v>
                </c:pt>
              </c:strCache>
            </c:strRef>
          </c:cat>
          <c:val>
            <c:numRef>
              <c:f>实习4环境稳定性分析!$B$25:$D$25</c:f>
              <c:numCache>
                <c:formatCode>0.00_ </c:formatCode>
                <c:ptCount val="3"/>
                <c:pt idx="0">
                  <c:v>12.25</c:v>
                </c:pt>
                <c:pt idx="1">
                  <c:v>15.65</c:v>
                </c:pt>
                <c:pt idx="2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A7A-4F23-A864-25C4DB466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810304"/>
        <c:axId val="268640640"/>
      </c:lineChart>
      <c:catAx>
        <c:axId val="26981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zh-CN"/>
          </a:p>
        </c:txPr>
        <c:crossAx val="268640640"/>
        <c:crosses val="autoZero"/>
        <c:auto val="1"/>
        <c:lblAlgn val="ctr"/>
        <c:lblOffset val="100"/>
        <c:noMultiLvlLbl val="0"/>
      </c:catAx>
      <c:valAx>
        <c:axId val="268640640"/>
        <c:scaling>
          <c:orientation val="minMax"/>
          <c:max val="17"/>
          <c:min val="1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zh-CN" altLang="en-US"/>
                  <a:t>直链淀粉含量 </a:t>
                </a:r>
                <a:r>
                  <a:rPr lang="en-US" altLang="zh-CN"/>
                  <a:t>(%)</a:t>
                </a:r>
                <a:endParaRPr lang="zh-CN" altLang="en-US"/>
              </a:p>
            </c:rich>
          </c:tx>
          <c:layout/>
          <c:overlay val="0"/>
        </c:title>
        <c:numFmt formatCode="0_ " sourceLinked="0"/>
        <c:majorTickMark val="out"/>
        <c:minorTickMark val="none"/>
        <c:tickLblPos val="nextTo"/>
        <c:crossAx val="269810304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0.75141199661757763"/>
          <c:y val="4.8829506341647413E-2"/>
          <c:w val="0.23115425163904721"/>
          <c:h val="0.8175106479953478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wmf"/><Relationship Id="rId3" Type="http://schemas.openxmlformats.org/officeDocument/2006/relationships/image" Target="../media/image11.wmf"/><Relationship Id="rId7" Type="http://schemas.openxmlformats.org/officeDocument/2006/relationships/image" Target="../media/image15.wmf"/><Relationship Id="rId2" Type="http://schemas.openxmlformats.org/officeDocument/2006/relationships/image" Target="../media/image10.wmf"/><Relationship Id="rId1" Type="http://schemas.openxmlformats.org/officeDocument/2006/relationships/image" Target="../media/image9.wmf"/><Relationship Id="rId6" Type="http://schemas.openxmlformats.org/officeDocument/2006/relationships/image" Target="../media/image14.wmf"/><Relationship Id="rId5" Type="http://schemas.openxmlformats.org/officeDocument/2006/relationships/image" Target="../media/image13.wmf"/><Relationship Id="rId4" Type="http://schemas.openxmlformats.org/officeDocument/2006/relationships/image" Target="../media/image12.wmf"/><Relationship Id="rId9" Type="http://schemas.openxmlformats.org/officeDocument/2006/relationships/image" Target="../media/image1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52</xdr:row>
      <xdr:rowOff>57150</xdr:rowOff>
    </xdr:from>
    <xdr:to>
      <xdr:col>15</xdr:col>
      <xdr:colOff>571500</xdr:colOff>
      <xdr:row>67</xdr:row>
      <xdr:rowOff>57150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350520</xdr:colOff>
      <xdr:row>51</xdr:row>
      <xdr:rowOff>95250</xdr:rowOff>
    </xdr:from>
    <xdr:to>
      <xdr:col>31</xdr:col>
      <xdr:colOff>807720</xdr:colOff>
      <xdr:row>66</xdr:row>
      <xdr:rowOff>95250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358140</xdr:colOff>
          <xdr:row>11</xdr:row>
          <xdr:rowOff>91440</xdr:rowOff>
        </xdr:from>
        <xdr:to>
          <xdr:col>6</xdr:col>
          <xdr:colOff>411480</xdr:colOff>
          <xdr:row>12</xdr:row>
          <xdr:rowOff>144780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320040</xdr:colOff>
          <xdr:row>13</xdr:row>
          <xdr:rowOff>7620</xdr:rowOff>
        </xdr:from>
        <xdr:to>
          <xdr:col>6</xdr:col>
          <xdr:colOff>396240</xdr:colOff>
          <xdr:row>14</xdr:row>
          <xdr:rowOff>30480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350520</xdr:colOff>
          <xdr:row>14</xdr:row>
          <xdr:rowOff>160020</xdr:rowOff>
        </xdr:from>
        <xdr:to>
          <xdr:col>7</xdr:col>
          <xdr:colOff>121920</xdr:colOff>
          <xdr:row>15</xdr:row>
          <xdr:rowOff>182880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</xdr:colOff>
          <xdr:row>12</xdr:row>
          <xdr:rowOff>144780</xdr:rowOff>
        </xdr:from>
        <xdr:to>
          <xdr:col>14</xdr:col>
          <xdr:colOff>586740</xdr:colOff>
          <xdr:row>13</xdr:row>
          <xdr:rowOff>182880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14</xdr:row>
          <xdr:rowOff>0</xdr:rowOff>
        </xdr:from>
        <xdr:to>
          <xdr:col>14</xdr:col>
          <xdr:colOff>243840</xdr:colOff>
          <xdr:row>15</xdr:row>
          <xdr:rowOff>30480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22860</xdr:colOff>
          <xdr:row>9</xdr:row>
          <xdr:rowOff>175260</xdr:rowOff>
        </xdr:from>
        <xdr:to>
          <xdr:col>12</xdr:col>
          <xdr:colOff>601980</xdr:colOff>
          <xdr:row>11</xdr:row>
          <xdr:rowOff>30480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419100</xdr:colOff>
          <xdr:row>15</xdr:row>
          <xdr:rowOff>144780</xdr:rowOff>
        </xdr:from>
        <xdr:to>
          <xdr:col>11</xdr:col>
          <xdr:colOff>449580</xdr:colOff>
          <xdr:row>18</xdr:row>
          <xdr:rowOff>7620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30480</xdr:colOff>
          <xdr:row>15</xdr:row>
          <xdr:rowOff>53340</xdr:rowOff>
        </xdr:from>
        <xdr:to>
          <xdr:col>13</xdr:col>
          <xdr:colOff>243840</xdr:colOff>
          <xdr:row>17</xdr:row>
          <xdr:rowOff>99060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15</xdr:row>
          <xdr:rowOff>0</xdr:rowOff>
        </xdr:from>
        <xdr:to>
          <xdr:col>7</xdr:col>
          <xdr:colOff>518160</xdr:colOff>
          <xdr:row>16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16</xdr:row>
          <xdr:rowOff>0</xdr:rowOff>
        </xdr:from>
        <xdr:to>
          <xdr:col>7</xdr:col>
          <xdr:colOff>472440</xdr:colOff>
          <xdr:row>17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17</xdr:row>
          <xdr:rowOff>0</xdr:rowOff>
        </xdr:from>
        <xdr:to>
          <xdr:col>7</xdr:col>
          <xdr:colOff>449580</xdr:colOff>
          <xdr:row>18</xdr:row>
          <xdr:rowOff>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18</xdr:row>
          <xdr:rowOff>0</xdr:rowOff>
        </xdr:from>
        <xdr:to>
          <xdr:col>7</xdr:col>
          <xdr:colOff>137160</xdr:colOff>
          <xdr:row>19</xdr:row>
          <xdr:rowOff>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53340</xdr:colOff>
          <xdr:row>19</xdr:row>
          <xdr:rowOff>175260</xdr:rowOff>
        </xdr:from>
        <xdr:to>
          <xdr:col>4</xdr:col>
          <xdr:colOff>144780</xdr:colOff>
          <xdr:row>22</xdr:row>
          <xdr:rowOff>91440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327660</xdr:colOff>
          <xdr:row>20</xdr:row>
          <xdr:rowOff>0</xdr:rowOff>
        </xdr:from>
        <xdr:to>
          <xdr:col>7</xdr:col>
          <xdr:colOff>449580</xdr:colOff>
          <xdr:row>23</xdr:row>
          <xdr:rowOff>83820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518160</xdr:colOff>
          <xdr:row>23</xdr:row>
          <xdr:rowOff>7620</xdr:rowOff>
        </xdr:from>
        <xdr:to>
          <xdr:col>4</xdr:col>
          <xdr:colOff>518160</xdr:colOff>
          <xdr:row>24</xdr:row>
          <xdr:rowOff>106680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853440</xdr:colOff>
          <xdr:row>25</xdr:row>
          <xdr:rowOff>0</xdr:rowOff>
        </xdr:from>
        <xdr:to>
          <xdr:col>9</xdr:col>
          <xdr:colOff>381000</xdr:colOff>
          <xdr:row>26</xdr:row>
          <xdr:rowOff>68580</xdr:rowOff>
        </xdr:to>
        <xdr:sp macro="" textlink="">
          <xdr:nvSpPr>
            <xdr:cNvPr id="4105" name="Object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29</xdr:row>
          <xdr:rowOff>0</xdr:rowOff>
        </xdr:from>
        <xdr:to>
          <xdr:col>7</xdr:col>
          <xdr:colOff>487680</xdr:colOff>
          <xdr:row>30</xdr:row>
          <xdr:rowOff>0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6</xdr:col>
      <xdr:colOff>601980</xdr:colOff>
      <xdr:row>42</xdr:row>
      <xdr:rowOff>0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netics\&#35770;&#25991;\Book&#32676;&#20307;&#25968;&#37327;&#36951;&#20256;\Book&#25968;&#37327;&#36951;&#20256;&#23398;&#20986;&#29256;&#21069;&#20462;&#25913;&#31295;\&#31532;9&#31456;%20&#22522;&#22240;&#22411;&#21644;&#29615;&#22659;&#20114;&#20316;\&#31532;9&#314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-2"/>
      <sheetName val="T3"/>
      <sheetName val="T6-8"/>
      <sheetName val="T10-11F3"/>
      <sheetName val="F4-5"/>
      <sheetName val="练习和答案"/>
      <sheetName val="Other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环境1</v>
          </cell>
          <cell r="C1" t="str">
            <v>环境3</v>
          </cell>
          <cell r="D1" t="str">
            <v>环境2</v>
          </cell>
        </row>
        <row r="16">
          <cell r="A16" t="str">
            <v>RIL6</v>
          </cell>
          <cell r="B16">
            <v>15.55</v>
          </cell>
          <cell r="C16">
            <v>16.5</v>
          </cell>
          <cell r="D16">
            <v>16.399999999999999</v>
          </cell>
        </row>
        <row r="17">
          <cell r="A17" t="str">
            <v>RIL5</v>
          </cell>
          <cell r="B17">
            <v>15.65</v>
          </cell>
          <cell r="C17">
            <v>15.5</v>
          </cell>
          <cell r="D17">
            <v>16.649999999999999</v>
          </cell>
        </row>
        <row r="18">
          <cell r="A18" t="str">
            <v>RIL2</v>
          </cell>
          <cell r="B18">
            <v>14.75</v>
          </cell>
          <cell r="C18">
            <v>16</v>
          </cell>
          <cell r="D18">
            <v>15.75</v>
          </cell>
        </row>
        <row r="19">
          <cell r="A19" t="str">
            <v>RIL3</v>
          </cell>
          <cell r="B19">
            <v>14.45</v>
          </cell>
          <cell r="C19">
            <v>15.65</v>
          </cell>
          <cell r="D19">
            <v>15.85</v>
          </cell>
        </row>
        <row r="20">
          <cell r="A20" t="str">
            <v>RIL4</v>
          </cell>
          <cell r="B20">
            <v>13.6</v>
          </cell>
          <cell r="C20">
            <v>15.25</v>
          </cell>
          <cell r="D20">
            <v>16.399999999999999</v>
          </cell>
        </row>
        <row r="21">
          <cell r="A21" t="str">
            <v>RIL1</v>
          </cell>
          <cell r="B21">
            <v>15.2</v>
          </cell>
          <cell r="C21">
            <v>14.65</v>
          </cell>
          <cell r="D21">
            <v>14.5</v>
          </cell>
        </row>
        <row r="22">
          <cell r="A22" t="str">
            <v>RIL9</v>
          </cell>
          <cell r="B22">
            <v>13.15</v>
          </cell>
          <cell r="C22">
            <v>15.4</v>
          </cell>
          <cell r="D22">
            <v>14.55</v>
          </cell>
        </row>
        <row r="23">
          <cell r="A23" t="str">
            <v>RIL7</v>
          </cell>
          <cell r="B23">
            <v>13.65</v>
          </cell>
          <cell r="C23">
            <v>14.3</v>
          </cell>
          <cell r="D23">
            <v>14.6</v>
          </cell>
        </row>
        <row r="24">
          <cell r="A24" t="str">
            <v>RIL10</v>
          </cell>
          <cell r="B24">
            <v>13.2</v>
          </cell>
          <cell r="C24">
            <v>14.2</v>
          </cell>
          <cell r="D24">
            <v>15.05</v>
          </cell>
        </row>
        <row r="25">
          <cell r="A25" t="str">
            <v>RIL8</v>
          </cell>
          <cell r="B25">
            <v>12.25</v>
          </cell>
          <cell r="C25">
            <v>15.65</v>
          </cell>
          <cell r="D25">
            <v>14.3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13" Type="http://schemas.openxmlformats.org/officeDocument/2006/relationships/oleObject" Target="../embeddings/oleObject6.bin"/><Relationship Id="rId18" Type="http://schemas.openxmlformats.org/officeDocument/2006/relationships/image" Target="../media/image8.wmf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5.wmf"/><Relationship Id="rId17" Type="http://schemas.openxmlformats.org/officeDocument/2006/relationships/oleObject" Target="../embeddings/oleObject8.bin"/><Relationship Id="rId2" Type="http://schemas.openxmlformats.org/officeDocument/2006/relationships/vmlDrawing" Target="../drawings/vmlDrawing1.vml"/><Relationship Id="rId16" Type="http://schemas.openxmlformats.org/officeDocument/2006/relationships/image" Target="../media/image7.wmf"/><Relationship Id="rId1" Type="http://schemas.openxmlformats.org/officeDocument/2006/relationships/drawing" Target="../drawings/drawing3.xml"/><Relationship Id="rId6" Type="http://schemas.openxmlformats.org/officeDocument/2006/relationships/image" Target="../media/image2.wmf"/><Relationship Id="rId11" Type="http://schemas.openxmlformats.org/officeDocument/2006/relationships/oleObject" Target="../embeddings/oleObject5.bin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7.bin"/><Relationship Id="rId10" Type="http://schemas.openxmlformats.org/officeDocument/2006/relationships/image" Target="../media/image4.wmf"/><Relationship Id="rId4" Type="http://schemas.openxmlformats.org/officeDocument/2006/relationships/image" Target="../media/image1.wmf"/><Relationship Id="rId9" Type="http://schemas.openxmlformats.org/officeDocument/2006/relationships/oleObject" Target="../embeddings/oleObject4.bin"/><Relationship Id="rId14" Type="http://schemas.openxmlformats.org/officeDocument/2006/relationships/image" Target="../media/image6.w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1.bin"/><Relationship Id="rId13" Type="http://schemas.openxmlformats.org/officeDocument/2006/relationships/image" Target="../media/image13.wmf"/><Relationship Id="rId18" Type="http://schemas.openxmlformats.org/officeDocument/2006/relationships/oleObject" Target="../embeddings/oleObject16.bin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7.wmf"/><Relationship Id="rId7" Type="http://schemas.openxmlformats.org/officeDocument/2006/relationships/image" Target="../media/image10.wmf"/><Relationship Id="rId12" Type="http://schemas.openxmlformats.org/officeDocument/2006/relationships/oleObject" Target="../embeddings/oleObject13.bin"/><Relationship Id="rId17" Type="http://schemas.openxmlformats.org/officeDocument/2006/relationships/image" Target="../media/image15.wmf"/><Relationship Id="rId2" Type="http://schemas.openxmlformats.org/officeDocument/2006/relationships/drawing" Target="../drawings/drawing4.xml"/><Relationship Id="rId16" Type="http://schemas.openxmlformats.org/officeDocument/2006/relationships/oleObject" Target="../embeddings/oleObject15.bin"/><Relationship Id="rId20" Type="http://schemas.openxmlformats.org/officeDocument/2006/relationships/oleObject" Target="../embeddings/oleObject17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10.bin"/><Relationship Id="rId11" Type="http://schemas.openxmlformats.org/officeDocument/2006/relationships/image" Target="../media/image12.wmf"/><Relationship Id="rId5" Type="http://schemas.openxmlformats.org/officeDocument/2006/relationships/image" Target="../media/image9.wmf"/><Relationship Id="rId15" Type="http://schemas.openxmlformats.org/officeDocument/2006/relationships/image" Target="../media/image14.wmf"/><Relationship Id="rId10" Type="http://schemas.openxmlformats.org/officeDocument/2006/relationships/oleObject" Target="../embeddings/oleObject12.bin"/><Relationship Id="rId19" Type="http://schemas.openxmlformats.org/officeDocument/2006/relationships/image" Target="../media/image16.wmf"/><Relationship Id="rId4" Type="http://schemas.openxmlformats.org/officeDocument/2006/relationships/oleObject" Target="../embeddings/oleObject9.bin"/><Relationship Id="rId9" Type="http://schemas.openxmlformats.org/officeDocument/2006/relationships/image" Target="../media/image11.wmf"/><Relationship Id="rId14" Type="http://schemas.openxmlformats.org/officeDocument/2006/relationships/oleObject" Target="../embeddings/oleObject1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activeCell="A4" sqref="A4"/>
    </sheetView>
  </sheetViews>
  <sheetFormatPr defaultRowHeight="14.4" x14ac:dyDescent="0.25"/>
  <cols>
    <col min="10" max="10" width="11.6640625" customWidth="1"/>
    <col min="12" max="15" width="12.77734375" bestFit="1" customWidth="1"/>
  </cols>
  <sheetData>
    <row r="1" spans="1:15" x14ac:dyDescent="0.25">
      <c r="A1" t="s">
        <v>1</v>
      </c>
      <c r="B1" t="s">
        <v>2</v>
      </c>
      <c r="C1" t="s">
        <v>0</v>
      </c>
      <c r="D1" t="s">
        <v>3</v>
      </c>
      <c r="E1" t="s">
        <v>4</v>
      </c>
      <c r="F1" t="s">
        <v>5</v>
      </c>
      <c r="G1" t="s">
        <v>8</v>
      </c>
      <c r="I1" t="s">
        <v>9</v>
      </c>
      <c r="K1" s="1" t="s">
        <v>6</v>
      </c>
      <c r="L1">
        <f>D2</f>
        <v>16</v>
      </c>
      <c r="M1">
        <f>E2</f>
        <v>24</v>
      </c>
      <c r="N1">
        <f>F2</f>
        <v>32</v>
      </c>
    </row>
    <row r="2" spans="1:15" x14ac:dyDescent="0.25">
      <c r="A2" t="s">
        <v>16</v>
      </c>
      <c r="B2">
        <v>24</v>
      </c>
      <c r="C2">
        <v>8</v>
      </c>
      <c r="D2">
        <f>B2-C2</f>
        <v>16</v>
      </c>
      <c r="E2">
        <f>B2</f>
        <v>24</v>
      </c>
      <c r="F2">
        <f>B2+C2</f>
        <v>32</v>
      </c>
      <c r="G2">
        <f>0.5*C2^2</f>
        <v>32</v>
      </c>
      <c r="I2" t="s">
        <v>11</v>
      </c>
      <c r="J2">
        <v>4</v>
      </c>
      <c r="K2" s="1" t="s">
        <v>7</v>
      </c>
      <c r="L2">
        <f>M2</f>
        <v>4</v>
      </c>
      <c r="M2">
        <f>N2</f>
        <v>4</v>
      </c>
      <c r="N2">
        <f>J2</f>
        <v>4</v>
      </c>
    </row>
    <row r="3" spans="1:15" x14ac:dyDescent="0.25">
      <c r="I3" t="s">
        <v>10</v>
      </c>
      <c r="J3">
        <f>G2/(G2+J2)</f>
        <v>0.88888888888888884</v>
      </c>
      <c r="K3" t="s">
        <v>12</v>
      </c>
      <c r="L3" s="1" t="s">
        <v>13</v>
      </c>
      <c r="M3" s="1" t="s">
        <v>14</v>
      </c>
      <c r="N3" s="1" t="s">
        <v>13</v>
      </c>
      <c r="O3" s="1" t="s">
        <v>15</v>
      </c>
    </row>
    <row r="4" spans="1:15" x14ac:dyDescent="0.25">
      <c r="A4" s="2" t="s">
        <v>110</v>
      </c>
      <c r="K4" s="1">
        <v>0</v>
      </c>
      <c r="L4" s="1">
        <f>_xlfn.NORM.DIST($K4,L$1,SQRT(L$2),FALSE)</f>
        <v>2.5261355417684464E-15</v>
      </c>
      <c r="M4" s="1">
        <f>_xlfn.NORM.DIST($K4,M$1,SQRT(M$2),FALSE)</f>
        <v>1.0731918678315302E-32</v>
      </c>
      <c r="N4" s="1">
        <f>_xlfn.NORM.DIST($K4,N$1,SQRT(N$2),FALSE)</f>
        <v>5.130815363959518E-57</v>
      </c>
      <c r="O4" s="1">
        <f t="shared" ref="O4:O51" si="0">N4*0.25+M4*0.5+L4*0.25</f>
        <v>6.3153388544211159E-16</v>
      </c>
    </row>
    <row r="5" spans="1:15" x14ac:dyDescent="0.25">
      <c r="K5" s="1">
        <f>K4+1</f>
        <v>1</v>
      </c>
      <c r="L5" s="1">
        <f t="shared" ref="L5:M24" si="1">_xlfn.NORM.DIST($K5,L$1,SQRT(L$2),FALSE)</f>
        <v>1.2171602665145048E-13</v>
      </c>
      <c r="M5" s="1">
        <f t="shared" si="1"/>
        <v>3.8208277057936016E-30</v>
      </c>
      <c r="N5" s="1">
        <f t="shared" ref="N5:N51" si="2">_xlfn.NORM.DIST($K5,N$1,SQRT(N$2),FALSE)</f>
        <v>1.3497565122942938E-53</v>
      </c>
      <c r="O5" s="1">
        <f t="shared" si="0"/>
        <v>3.042900666286262E-14</v>
      </c>
    </row>
    <row r="6" spans="1:15" x14ac:dyDescent="0.25">
      <c r="K6" s="1">
        <f t="shared" ref="K6:K51" si="3">K5+1</f>
        <v>2</v>
      </c>
      <c r="L6" s="1">
        <f t="shared" si="1"/>
        <v>4.5673602041822968E-12</v>
      </c>
      <c r="M6" s="1">
        <f t="shared" si="1"/>
        <v>1.0594096267546769E-27</v>
      </c>
      <c r="N6" s="1">
        <f t="shared" si="2"/>
        <v>2.7653547749222082E-50</v>
      </c>
      <c r="O6" s="1">
        <f t="shared" si="0"/>
        <v>1.1418400510455748E-12</v>
      </c>
    </row>
    <row r="7" spans="1:15" x14ac:dyDescent="0.25">
      <c r="K7" s="1">
        <f t="shared" si="3"/>
        <v>3</v>
      </c>
      <c r="L7" s="1">
        <f t="shared" si="1"/>
        <v>1.334778307381426E-10</v>
      </c>
      <c r="M7" s="1">
        <f t="shared" si="1"/>
        <v>2.2876877952604028E-25</v>
      </c>
      <c r="N7" s="1">
        <f t="shared" si="2"/>
        <v>4.4123774872974124E-47</v>
      </c>
      <c r="O7" s="1">
        <f t="shared" si="0"/>
        <v>3.3369457684535765E-11</v>
      </c>
    </row>
    <row r="8" spans="1:15" x14ac:dyDescent="0.25">
      <c r="K8" s="1">
        <f t="shared" si="3"/>
        <v>4</v>
      </c>
      <c r="L8" s="1">
        <f t="shared" si="1"/>
        <v>3.037941424911643E-9</v>
      </c>
      <c r="M8" s="1">
        <f t="shared" si="1"/>
        <v>3.84729931335321E-23</v>
      </c>
      <c r="N8" s="1">
        <f t="shared" si="2"/>
        <v>5.4830327969448563E-44</v>
      </c>
      <c r="O8" s="1">
        <f t="shared" si="0"/>
        <v>7.5948535622792999E-10</v>
      </c>
    </row>
    <row r="9" spans="1:15" x14ac:dyDescent="0.25">
      <c r="K9" s="1">
        <f t="shared" si="3"/>
        <v>5</v>
      </c>
      <c r="L9" s="1">
        <f t="shared" si="1"/>
        <v>5.384880021271638E-8</v>
      </c>
      <c r="M9" s="1">
        <f t="shared" si="1"/>
        <v>5.0389676971500049E-21</v>
      </c>
      <c r="N9" s="1">
        <f t="shared" si="2"/>
        <v>5.3063440695760802E-41</v>
      </c>
      <c r="O9" s="1">
        <f t="shared" si="0"/>
        <v>1.3462200053181615E-8</v>
      </c>
    </row>
    <row r="10" spans="1:15" x14ac:dyDescent="0.25">
      <c r="K10" s="1">
        <f t="shared" si="3"/>
        <v>6</v>
      </c>
      <c r="L10" s="1">
        <f t="shared" si="1"/>
        <v>7.4335975736714884E-7</v>
      </c>
      <c r="M10" s="1">
        <f t="shared" si="1"/>
        <v>5.1398867858344583E-19</v>
      </c>
      <c r="N10" s="1">
        <f t="shared" si="2"/>
        <v>3.9994138785034063E-38</v>
      </c>
      <c r="O10" s="1">
        <f t="shared" si="0"/>
        <v>1.858399393420442E-7</v>
      </c>
    </row>
    <row r="11" spans="1:15" x14ac:dyDescent="0.25">
      <c r="K11" s="1">
        <f t="shared" si="3"/>
        <v>7</v>
      </c>
      <c r="L11" s="1">
        <f t="shared" si="1"/>
        <v>7.9918705534527373E-6</v>
      </c>
      <c r="M11" s="1">
        <f t="shared" si="1"/>
        <v>4.0831178158347751E-17</v>
      </c>
      <c r="N11" s="1">
        <f t="shared" si="2"/>
        <v>2.3475976789875732E-35</v>
      </c>
      <c r="O11" s="1">
        <f t="shared" si="0"/>
        <v>1.9979676383835999E-6</v>
      </c>
    </row>
    <row r="12" spans="1:15" x14ac:dyDescent="0.25">
      <c r="K12" s="1">
        <f t="shared" si="3"/>
        <v>8</v>
      </c>
      <c r="L12" s="1">
        <f t="shared" si="1"/>
        <v>6.6915112882442684E-5</v>
      </c>
      <c r="M12" s="1">
        <f t="shared" si="1"/>
        <v>2.5261355417684464E-15</v>
      </c>
      <c r="N12" s="1">
        <f t="shared" si="2"/>
        <v>1.0731918678315302E-32</v>
      </c>
      <c r="O12" s="1">
        <f t="shared" si="0"/>
        <v>1.6728778221873739E-5</v>
      </c>
    </row>
    <row r="13" spans="1:15" x14ac:dyDescent="0.25">
      <c r="K13" s="1">
        <f t="shared" si="3"/>
        <v>9</v>
      </c>
      <c r="L13" s="1">
        <f t="shared" si="1"/>
        <v>4.3634134752288008E-4</v>
      </c>
      <c r="M13" s="1">
        <f t="shared" si="1"/>
        <v>1.2171602665145048E-13</v>
      </c>
      <c r="N13" s="1">
        <f t="shared" si="2"/>
        <v>3.8208277057936016E-30</v>
      </c>
      <c r="O13" s="1">
        <f t="shared" si="0"/>
        <v>1.0908533694157804E-4</v>
      </c>
    </row>
    <row r="14" spans="1:15" x14ac:dyDescent="0.25">
      <c r="K14" s="1">
        <f t="shared" si="3"/>
        <v>10</v>
      </c>
      <c r="L14" s="1">
        <f t="shared" si="1"/>
        <v>2.2159242059690038E-3</v>
      </c>
      <c r="M14" s="1">
        <f t="shared" si="1"/>
        <v>4.5673602041822968E-12</v>
      </c>
      <c r="N14" s="1">
        <f t="shared" si="2"/>
        <v>1.0594096267546769E-27</v>
      </c>
      <c r="O14" s="1">
        <f t="shared" si="0"/>
        <v>5.5398105377593102E-4</v>
      </c>
    </row>
    <row r="15" spans="1:15" x14ac:dyDescent="0.25">
      <c r="K15" s="1">
        <f t="shared" si="3"/>
        <v>11</v>
      </c>
      <c r="L15" s="1">
        <f t="shared" si="1"/>
        <v>8.7641502467842702E-3</v>
      </c>
      <c r="M15" s="1">
        <f t="shared" si="1"/>
        <v>1.334778307381426E-10</v>
      </c>
      <c r="N15" s="1">
        <f t="shared" si="2"/>
        <v>2.2876877952604028E-25</v>
      </c>
      <c r="O15" s="1">
        <f t="shared" si="0"/>
        <v>2.1910376284349827E-3</v>
      </c>
    </row>
    <row r="16" spans="1:15" x14ac:dyDescent="0.25">
      <c r="K16" s="1">
        <f t="shared" si="3"/>
        <v>12</v>
      </c>
      <c r="L16" s="1">
        <f t="shared" si="1"/>
        <v>2.6995483256594031E-2</v>
      </c>
      <c r="M16" s="1">
        <f t="shared" si="1"/>
        <v>3.037941424911643E-9</v>
      </c>
      <c r="N16" s="1">
        <f t="shared" si="2"/>
        <v>3.84729931335321E-23</v>
      </c>
      <c r="O16" s="1">
        <f t="shared" si="0"/>
        <v>6.7488723331192201E-3</v>
      </c>
    </row>
    <row r="17" spans="11:15" x14ac:dyDescent="0.25">
      <c r="K17" s="1">
        <f t="shared" si="3"/>
        <v>13</v>
      </c>
      <c r="L17" s="1">
        <f t="shared" si="1"/>
        <v>6.4758797832945872E-2</v>
      </c>
      <c r="M17" s="1">
        <f t="shared" si="1"/>
        <v>5.384880021271638E-8</v>
      </c>
      <c r="N17" s="1">
        <f t="shared" si="2"/>
        <v>5.0389676971500049E-21</v>
      </c>
      <c r="O17" s="1">
        <f t="shared" si="0"/>
        <v>1.6189726382636573E-2</v>
      </c>
    </row>
    <row r="18" spans="11:15" x14ac:dyDescent="0.25">
      <c r="K18" s="1">
        <f t="shared" si="3"/>
        <v>14</v>
      </c>
      <c r="L18" s="1">
        <f t="shared" si="1"/>
        <v>0.12098536225957168</v>
      </c>
      <c r="M18" s="1">
        <f t="shared" si="1"/>
        <v>7.4335975736714884E-7</v>
      </c>
      <c r="N18" s="1">
        <f t="shared" si="2"/>
        <v>5.1398867858344583E-19</v>
      </c>
      <c r="O18" s="1">
        <f t="shared" si="0"/>
        <v>3.0246712244771604E-2</v>
      </c>
    </row>
    <row r="19" spans="11:15" x14ac:dyDescent="0.25">
      <c r="K19" s="1">
        <f t="shared" si="3"/>
        <v>15</v>
      </c>
      <c r="L19" s="1">
        <f t="shared" si="1"/>
        <v>0.17603266338214976</v>
      </c>
      <c r="M19" s="1">
        <f t="shared" si="1"/>
        <v>7.9918705534527373E-6</v>
      </c>
      <c r="N19" s="1">
        <f t="shared" si="2"/>
        <v>4.0831178158347751E-17</v>
      </c>
      <c r="O19" s="1">
        <f t="shared" si="0"/>
        <v>4.4012161780814178E-2</v>
      </c>
    </row>
    <row r="20" spans="11:15" x14ac:dyDescent="0.25">
      <c r="K20" s="2">
        <f t="shared" si="3"/>
        <v>16</v>
      </c>
      <c r="L20" s="1">
        <f t="shared" si="1"/>
        <v>0.19947114020071635</v>
      </c>
      <c r="M20" s="1">
        <f t="shared" si="1"/>
        <v>6.6915112882442684E-5</v>
      </c>
      <c r="N20" s="1">
        <f t="shared" si="2"/>
        <v>2.5261355417684464E-15</v>
      </c>
      <c r="O20" s="1">
        <f t="shared" si="0"/>
        <v>4.9901242606620939E-2</v>
      </c>
    </row>
    <row r="21" spans="11:15" x14ac:dyDescent="0.25">
      <c r="K21" s="1">
        <f t="shared" si="3"/>
        <v>17</v>
      </c>
      <c r="L21" s="1">
        <f t="shared" si="1"/>
        <v>0.17603266338214976</v>
      </c>
      <c r="M21" s="1">
        <f t="shared" si="1"/>
        <v>4.3634134752288008E-4</v>
      </c>
      <c r="N21" s="1">
        <f t="shared" si="2"/>
        <v>1.2171602665145048E-13</v>
      </c>
      <c r="O21" s="1">
        <f t="shared" si="0"/>
        <v>4.4226336519329307E-2</v>
      </c>
    </row>
    <row r="22" spans="11:15" x14ac:dyDescent="0.25">
      <c r="K22" s="1">
        <f t="shared" si="3"/>
        <v>18</v>
      </c>
      <c r="L22" s="1">
        <f t="shared" si="1"/>
        <v>0.12098536225957168</v>
      </c>
      <c r="M22" s="1">
        <f t="shared" si="1"/>
        <v>2.2159242059690038E-3</v>
      </c>
      <c r="N22" s="1">
        <f t="shared" si="2"/>
        <v>4.5673602041822968E-12</v>
      </c>
      <c r="O22" s="1">
        <f t="shared" si="0"/>
        <v>3.1354302669019264E-2</v>
      </c>
    </row>
    <row r="23" spans="11:15" x14ac:dyDescent="0.25">
      <c r="K23" s="1">
        <f t="shared" si="3"/>
        <v>19</v>
      </c>
      <c r="L23" s="1">
        <f t="shared" si="1"/>
        <v>6.4758797832945872E-2</v>
      </c>
      <c r="M23" s="1">
        <f t="shared" si="1"/>
        <v>8.7641502467842702E-3</v>
      </c>
      <c r="N23" s="1">
        <f t="shared" si="2"/>
        <v>1.334778307381426E-10</v>
      </c>
      <c r="O23" s="1">
        <f t="shared" si="0"/>
        <v>2.057177461499806E-2</v>
      </c>
    </row>
    <row r="24" spans="11:15" x14ac:dyDescent="0.25">
      <c r="K24" s="1">
        <f t="shared" si="3"/>
        <v>20</v>
      </c>
      <c r="L24" s="1">
        <f t="shared" si="1"/>
        <v>2.6995483256594031E-2</v>
      </c>
      <c r="M24" s="1">
        <f t="shared" si="1"/>
        <v>2.6995483256594031E-2</v>
      </c>
      <c r="N24" s="1">
        <f t="shared" si="2"/>
        <v>3.037941424911643E-9</v>
      </c>
      <c r="O24" s="1">
        <f t="shared" si="0"/>
        <v>2.0246613201930878E-2</v>
      </c>
    </row>
    <row r="25" spans="11:15" x14ac:dyDescent="0.25">
      <c r="K25" s="1">
        <f t="shared" si="3"/>
        <v>21</v>
      </c>
      <c r="L25" s="1">
        <f t="shared" ref="L25:M44" si="4">_xlfn.NORM.DIST($K25,L$1,SQRT(L$2),FALSE)</f>
        <v>8.7641502467842702E-3</v>
      </c>
      <c r="M25" s="1">
        <f t="shared" si="4"/>
        <v>6.4758797832945872E-2</v>
      </c>
      <c r="N25" s="1">
        <f t="shared" si="2"/>
        <v>5.384880021271638E-8</v>
      </c>
      <c r="O25" s="1">
        <f t="shared" si="0"/>
        <v>3.4570449940369057E-2</v>
      </c>
    </row>
    <row r="26" spans="11:15" x14ac:dyDescent="0.25">
      <c r="K26" s="1">
        <f t="shared" si="3"/>
        <v>22</v>
      </c>
      <c r="L26" s="1">
        <f t="shared" si="4"/>
        <v>2.2159242059690038E-3</v>
      </c>
      <c r="M26" s="1">
        <f t="shared" si="4"/>
        <v>0.12098536225957168</v>
      </c>
      <c r="N26" s="1">
        <f t="shared" si="2"/>
        <v>7.4335975736714884E-7</v>
      </c>
      <c r="O26" s="1">
        <f t="shared" si="0"/>
        <v>6.1046848021217431E-2</v>
      </c>
    </row>
    <row r="27" spans="11:15" x14ac:dyDescent="0.25">
      <c r="K27" s="1">
        <f t="shared" si="3"/>
        <v>23</v>
      </c>
      <c r="L27" s="1">
        <f t="shared" si="4"/>
        <v>4.3634134752288008E-4</v>
      </c>
      <c r="M27" s="1">
        <f t="shared" si="4"/>
        <v>0.17603266338214976</v>
      </c>
      <c r="N27" s="1">
        <f t="shared" si="2"/>
        <v>7.9918705534527373E-6</v>
      </c>
      <c r="O27" s="1">
        <f t="shared" si="0"/>
        <v>8.812741499559397E-2</v>
      </c>
    </row>
    <row r="28" spans="11:15" x14ac:dyDescent="0.25">
      <c r="K28" s="2">
        <f t="shared" si="3"/>
        <v>24</v>
      </c>
      <c r="L28" s="1">
        <f t="shared" si="4"/>
        <v>6.6915112882442684E-5</v>
      </c>
      <c r="M28" s="1">
        <f t="shared" si="4"/>
        <v>0.19947114020071635</v>
      </c>
      <c r="N28" s="1">
        <f t="shared" si="2"/>
        <v>6.6915112882442684E-5</v>
      </c>
      <c r="O28" s="1">
        <f t="shared" si="0"/>
        <v>9.9769027656799389E-2</v>
      </c>
    </row>
    <row r="29" spans="11:15" x14ac:dyDescent="0.25">
      <c r="K29" s="1">
        <f t="shared" si="3"/>
        <v>25</v>
      </c>
      <c r="L29" s="1">
        <f t="shared" si="4"/>
        <v>7.9918705534527373E-6</v>
      </c>
      <c r="M29" s="1">
        <f t="shared" si="4"/>
        <v>0.17603266338214976</v>
      </c>
      <c r="N29" s="1">
        <f t="shared" si="2"/>
        <v>4.3634134752288008E-4</v>
      </c>
      <c r="O29" s="1">
        <f t="shared" si="0"/>
        <v>8.812741499559397E-2</v>
      </c>
    </row>
    <row r="30" spans="11:15" x14ac:dyDescent="0.25">
      <c r="K30" s="1">
        <f t="shared" si="3"/>
        <v>26</v>
      </c>
      <c r="L30" s="1">
        <f t="shared" si="4"/>
        <v>7.4335975736714884E-7</v>
      </c>
      <c r="M30" s="1">
        <f t="shared" si="4"/>
        <v>0.12098536225957168</v>
      </c>
      <c r="N30" s="1">
        <f t="shared" si="2"/>
        <v>2.2159242059690038E-3</v>
      </c>
      <c r="O30" s="1">
        <f t="shared" si="0"/>
        <v>6.1046848021217431E-2</v>
      </c>
    </row>
    <row r="31" spans="11:15" x14ac:dyDescent="0.25">
      <c r="K31" s="1">
        <f t="shared" si="3"/>
        <v>27</v>
      </c>
      <c r="L31" s="1">
        <f t="shared" si="4"/>
        <v>5.384880021271638E-8</v>
      </c>
      <c r="M31" s="1">
        <f t="shared" si="4"/>
        <v>6.4758797832945872E-2</v>
      </c>
      <c r="N31" s="1">
        <f t="shared" si="2"/>
        <v>8.7641502467842702E-3</v>
      </c>
      <c r="O31" s="1">
        <f t="shared" si="0"/>
        <v>3.4570449940369057E-2</v>
      </c>
    </row>
    <row r="32" spans="11:15" x14ac:dyDescent="0.25">
      <c r="K32" s="1">
        <f t="shared" si="3"/>
        <v>28</v>
      </c>
      <c r="L32" s="1">
        <f t="shared" si="4"/>
        <v>3.037941424911643E-9</v>
      </c>
      <c r="M32" s="1">
        <f t="shared" si="4"/>
        <v>2.6995483256594031E-2</v>
      </c>
      <c r="N32" s="1">
        <f t="shared" si="2"/>
        <v>2.6995483256594031E-2</v>
      </c>
      <c r="O32" s="1">
        <f t="shared" si="0"/>
        <v>2.0246613201930878E-2</v>
      </c>
    </row>
    <row r="33" spans="11:15" x14ac:dyDescent="0.25">
      <c r="K33" s="1">
        <f t="shared" si="3"/>
        <v>29</v>
      </c>
      <c r="L33" s="1">
        <f t="shared" si="4"/>
        <v>1.334778307381426E-10</v>
      </c>
      <c r="M33" s="1">
        <f t="shared" si="4"/>
        <v>8.7641502467842702E-3</v>
      </c>
      <c r="N33" s="1">
        <f t="shared" si="2"/>
        <v>6.4758797832945872E-2</v>
      </c>
      <c r="O33" s="1">
        <f t="shared" si="0"/>
        <v>2.057177461499806E-2</v>
      </c>
    </row>
    <row r="34" spans="11:15" x14ac:dyDescent="0.25">
      <c r="K34" s="1">
        <f t="shared" si="3"/>
        <v>30</v>
      </c>
      <c r="L34" s="1">
        <f t="shared" si="4"/>
        <v>4.5673602041822968E-12</v>
      </c>
      <c r="M34" s="1">
        <f t="shared" si="4"/>
        <v>2.2159242059690038E-3</v>
      </c>
      <c r="N34" s="1">
        <f t="shared" si="2"/>
        <v>0.12098536225957168</v>
      </c>
      <c r="O34" s="1">
        <f t="shared" si="0"/>
        <v>3.1354302669019257E-2</v>
      </c>
    </row>
    <row r="35" spans="11:15" x14ac:dyDescent="0.25">
      <c r="K35" s="1">
        <f t="shared" si="3"/>
        <v>31</v>
      </c>
      <c r="L35" s="1">
        <f t="shared" si="4"/>
        <v>1.2171602665145048E-13</v>
      </c>
      <c r="M35" s="1">
        <f t="shared" si="4"/>
        <v>4.3634134752288008E-4</v>
      </c>
      <c r="N35" s="1">
        <f t="shared" si="2"/>
        <v>0.17603266338214976</v>
      </c>
      <c r="O35" s="1">
        <f t="shared" si="0"/>
        <v>4.4226336519329307E-2</v>
      </c>
    </row>
    <row r="36" spans="11:15" x14ac:dyDescent="0.25">
      <c r="K36" s="2">
        <f t="shared" si="3"/>
        <v>32</v>
      </c>
      <c r="L36" s="1">
        <f t="shared" si="4"/>
        <v>2.5261355417684464E-15</v>
      </c>
      <c r="M36" s="1">
        <f t="shared" si="4"/>
        <v>6.6915112882442684E-5</v>
      </c>
      <c r="N36" s="1">
        <f t="shared" si="2"/>
        <v>0.19947114020071635</v>
      </c>
      <c r="O36" s="1">
        <f t="shared" si="0"/>
        <v>4.9901242606620939E-2</v>
      </c>
    </row>
    <row r="37" spans="11:15" x14ac:dyDescent="0.25">
      <c r="K37" s="1">
        <f t="shared" si="3"/>
        <v>33</v>
      </c>
      <c r="L37" s="1">
        <f t="shared" si="4"/>
        <v>4.0831178158347751E-17</v>
      </c>
      <c r="M37" s="1">
        <f t="shared" si="4"/>
        <v>7.9918705534527373E-6</v>
      </c>
      <c r="N37" s="1">
        <f t="shared" si="2"/>
        <v>0.17603266338214976</v>
      </c>
      <c r="O37" s="1">
        <f t="shared" si="0"/>
        <v>4.4012161780814171E-2</v>
      </c>
    </row>
    <row r="38" spans="11:15" x14ac:dyDescent="0.25">
      <c r="K38" s="1">
        <f t="shared" si="3"/>
        <v>34</v>
      </c>
      <c r="L38" s="1">
        <f t="shared" si="4"/>
        <v>5.1398867858344583E-19</v>
      </c>
      <c r="M38" s="1">
        <f t="shared" si="4"/>
        <v>7.4335975736714884E-7</v>
      </c>
      <c r="N38" s="1">
        <f t="shared" si="2"/>
        <v>0.12098536225957168</v>
      </c>
      <c r="O38" s="1">
        <f t="shared" si="0"/>
        <v>3.0246712244771604E-2</v>
      </c>
    </row>
    <row r="39" spans="11:15" x14ac:dyDescent="0.25">
      <c r="K39" s="1">
        <f t="shared" si="3"/>
        <v>35</v>
      </c>
      <c r="L39" s="1">
        <f t="shared" si="4"/>
        <v>5.0389676971500049E-21</v>
      </c>
      <c r="M39" s="1">
        <f t="shared" si="4"/>
        <v>5.384880021271638E-8</v>
      </c>
      <c r="N39" s="1">
        <f t="shared" si="2"/>
        <v>6.4758797832945872E-2</v>
      </c>
      <c r="O39" s="1">
        <f t="shared" si="0"/>
        <v>1.6189726382636573E-2</v>
      </c>
    </row>
    <row r="40" spans="11:15" x14ac:dyDescent="0.25">
      <c r="K40" s="1">
        <f t="shared" si="3"/>
        <v>36</v>
      </c>
      <c r="L40" s="1">
        <f t="shared" si="4"/>
        <v>3.84729931335321E-23</v>
      </c>
      <c r="M40" s="1">
        <f t="shared" si="4"/>
        <v>3.037941424911643E-9</v>
      </c>
      <c r="N40" s="1">
        <f t="shared" si="2"/>
        <v>2.6995483256594031E-2</v>
      </c>
      <c r="O40" s="1">
        <f t="shared" si="0"/>
        <v>6.7488723331192201E-3</v>
      </c>
    </row>
    <row r="41" spans="11:15" x14ac:dyDescent="0.25">
      <c r="K41" s="1">
        <f t="shared" si="3"/>
        <v>37</v>
      </c>
      <c r="L41" s="1">
        <f t="shared" si="4"/>
        <v>2.2876877952604028E-25</v>
      </c>
      <c r="M41" s="1">
        <f t="shared" si="4"/>
        <v>1.334778307381426E-10</v>
      </c>
      <c r="N41" s="1">
        <f t="shared" si="2"/>
        <v>8.7641502467842702E-3</v>
      </c>
      <c r="O41" s="1">
        <f t="shared" si="0"/>
        <v>2.1910376284349827E-3</v>
      </c>
    </row>
    <row r="42" spans="11:15" x14ac:dyDescent="0.25">
      <c r="K42" s="1">
        <f t="shared" si="3"/>
        <v>38</v>
      </c>
      <c r="L42" s="1">
        <f t="shared" si="4"/>
        <v>1.0594096267546769E-27</v>
      </c>
      <c r="M42" s="1">
        <f t="shared" si="4"/>
        <v>4.5673602041822968E-12</v>
      </c>
      <c r="N42" s="1">
        <f t="shared" si="2"/>
        <v>2.2159242059690038E-3</v>
      </c>
      <c r="O42" s="1">
        <f t="shared" si="0"/>
        <v>5.5398105377593102E-4</v>
      </c>
    </row>
    <row r="43" spans="11:15" x14ac:dyDescent="0.25">
      <c r="K43" s="1">
        <f t="shared" si="3"/>
        <v>39</v>
      </c>
      <c r="L43" s="1">
        <f t="shared" si="4"/>
        <v>3.8208277057936016E-30</v>
      </c>
      <c r="M43" s="1">
        <f t="shared" si="4"/>
        <v>1.2171602665145048E-13</v>
      </c>
      <c r="N43" s="1">
        <f t="shared" si="2"/>
        <v>4.3634134752288008E-4</v>
      </c>
      <c r="O43" s="1">
        <f t="shared" si="0"/>
        <v>1.0908533694157804E-4</v>
      </c>
    </row>
    <row r="44" spans="11:15" x14ac:dyDescent="0.25">
      <c r="K44" s="1">
        <f t="shared" si="3"/>
        <v>40</v>
      </c>
      <c r="L44" s="1">
        <f t="shared" si="4"/>
        <v>1.0731918678315302E-32</v>
      </c>
      <c r="M44" s="1">
        <f t="shared" si="4"/>
        <v>2.5261355417684464E-15</v>
      </c>
      <c r="N44" s="1">
        <f t="shared" si="2"/>
        <v>6.6915112882442684E-5</v>
      </c>
      <c r="O44" s="1">
        <f t="shared" si="0"/>
        <v>1.6728778221873739E-5</v>
      </c>
    </row>
    <row r="45" spans="11:15" x14ac:dyDescent="0.25">
      <c r="K45" s="1">
        <f t="shared" si="3"/>
        <v>41</v>
      </c>
      <c r="L45" s="1">
        <f t="shared" ref="L45:M51" si="5">_xlfn.NORM.DIST($K45,L$1,SQRT(L$2),FALSE)</f>
        <v>2.3475976789875732E-35</v>
      </c>
      <c r="M45" s="1">
        <f t="shared" si="5"/>
        <v>4.0831178158347751E-17</v>
      </c>
      <c r="N45" s="1">
        <f t="shared" si="2"/>
        <v>7.9918705534527373E-6</v>
      </c>
      <c r="O45" s="1">
        <f t="shared" si="0"/>
        <v>1.9979676383835999E-6</v>
      </c>
    </row>
    <row r="46" spans="11:15" x14ac:dyDescent="0.25">
      <c r="K46" s="1">
        <f t="shared" si="3"/>
        <v>42</v>
      </c>
      <c r="L46" s="1">
        <f t="shared" si="5"/>
        <v>3.9994138785034063E-38</v>
      </c>
      <c r="M46" s="1">
        <f t="shared" si="5"/>
        <v>5.1398867858344583E-19</v>
      </c>
      <c r="N46" s="1">
        <f t="shared" si="2"/>
        <v>7.4335975736714884E-7</v>
      </c>
      <c r="O46" s="1">
        <f t="shared" si="0"/>
        <v>1.858399393420442E-7</v>
      </c>
    </row>
    <row r="47" spans="11:15" x14ac:dyDescent="0.25">
      <c r="K47" s="1">
        <f t="shared" si="3"/>
        <v>43</v>
      </c>
      <c r="L47" s="1">
        <f t="shared" si="5"/>
        <v>5.3063440695760802E-41</v>
      </c>
      <c r="M47" s="1">
        <f t="shared" si="5"/>
        <v>5.0389676971500049E-21</v>
      </c>
      <c r="N47" s="1">
        <f t="shared" si="2"/>
        <v>5.384880021271638E-8</v>
      </c>
      <c r="O47" s="1">
        <f t="shared" si="0"/>
        <v>1.3462200053181615E-8</v>
      </c>
    </row>
    <row r="48" spans="11:15" x14ac:dyDescent="0.25">
      <c r="K48" s="1">
        <f t="shared" si="3"/>
        <v>44</v>
      </c>
      <c r="L48" s="1">
        <f t="shared" si="5"/>
        <v>5.4830327969448563E-44</v>
      </c>
      <c r="M48" s="1">
        <f t="shared" si="5"/>
        <v>3.84729931335321E-23</v>
      </c>
      <c r="N48" s="1">
        <f t="shared" si="2"/>
        <v>3.037941424911643E-9</v>
      </c>
      <c r="O48" s="1">
        <f t="shared" si="0"/>
        <v>7.5948535622792999E-10</v>
      </c>
    </row>
    <row r="49" spans="11:15" x14ac:dyDescent="0.25">
      <c r="K49" s="1">
        <f t="shared" si="3"/>
        <v>45</v>
      </c>
      <c r="L49" s="1">
        <f t="shared" si="5"/>
        <v>4.4123774872974124E-47</v>
      </c>
      <c r="M49" s="1">
        <f t="shared" si="5"/>
        <v>2.2876877952604028E-25</v>
      </c>
      <c r="N49" s="1">
        <f t="shared" si="2"/>
        <v>1.334778307381426E-10</v>
      </c>
      <c r="O49" s="1">
        <f t="shared" si="0"/>
        <v>3.3369457684535765E-11</v>
      </c>
    </row>
    <row r="50" spans="11:15" x14ac:dyDescent="0.25">
      <c r="K50" s="1">
        <f t="shared" si="3"/>
        <v>46</v>
      </c>
      <c r="L50" s="1">
        <f t="shared" si="5"/>
        <v>2.7653547749222082E-50</v>
      </c>
      <c r="M50" s="1">
        <f t="shared" si="5"/>
        <v>1.0594096267546769E-27</v>
      </c>
      <c r="N50" s="1">
        <f t="shared" si="2"/>
        <v>4.5673602041822968E-12</v>
      </c>
      <c r="O50" s="1">
        <f t="shared" si="0"/>
        <v>1.1418400510455748E-12</v>
      </c>
    </row>
    <row r="51" spans="11:15" x14ac:dyDescent="0.25">
      <c r="K51" s="1">
        <f t="shared" si="3"/>
        <v>47</v>
      </c>
      <c r="L51" s="1">
        <f t="shared" si="5"/>
        <v>1.3497565122942938E-53</v>
      </c>
      <c r="M51" s="1">
        <f t="shared" si="5"/>
        <v>3.8208277057936016E-30</v>
      </c>
      <c r="N51" s="1">
        <f t="shared" si="2"/>
        <v>1.2171602665145048E-13</v>
      </c>
      <c r="O51" s="1">
        <f t="shared" si="0"/>
        <v>3.042900666286262E-14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workbookViewId="0">
      <selection activeCell="A8" sqref="A8"/>
    </sheetView>
  </sheetViews>
  <sheetFormatPr defaultRowHeight="14.4" x14ac:dyDescent="0.25"/>
  <cols>
    <col min="1" max="1" width="18.88671875" customWidth="1"/>
    <col min="27" max="27" width="12.77734375" bestFit="1" customWidth="1"/>
    <col min="28" max="28" width="11.6640625" bestFit="1" customWidth="1"/>
    <col min="32" max="32" width="12.77734375" bestFit="1" customWidth="1"/>
  </cols>
  <sheetData>
    <row r="1" spans="1:32" x14ac:dyDescent="0.25">
      <c r="A1" t="s">
        <v>18</v>
      </c>
      <c r="B1">
        <v>1</v>
      </c>
      <c r="E1" t="s">
        <v>17</v>
      </c>
      <c r="F1" s="2">
        <v>1</v>
      </c>
      <c r="G1" s="2">
        <v>2</v>
      </c>
      <c r="H1" s="2">
        <v>4</v>
      </c>
      <c r="I1" s="2">
        <v>8</v>
      </c>
      <c r="J1" s="2">
        <v>1</v>
      </c>
      <c r="K1" s="2">
        <v>2</v>
      </c>
      <c r="L1" s="2">
        <v>4</v>
      </c>
      <c r="M1" s="2">
        <v>8</v>
      </c>
      <c r="O1" t="s">
        <v>19</v>
      </c>
      <c r="P1" t="s">
        <v>1</v>
      </c>
      <c r="Q1" t="s">
        <v>2</v>
      </c>
      <c r="R1" t="s">
        <v>0</v>
      </c>
      <c r="S1" t="s">
        <v>3</v>
      </c>
      <c r="T1" t="s">
        <v>4</v>
      </c>
      <c r="U1" t="s">
        <v>5</v>
      </c>
      <c r="V1" t="s">
        <v>8</v>
      </c>
      <c r="Z1" s="1" t="s">
        <v>6</v>
      </c>
      <c r="AA1">
        <f>S2</f>
        <v>16</v>
      </c>
      <c r="AB1">
        <f>AA1+$R$2</f>
        <v>20</v>
      </c>
      <c r="AC1">
        <f>AB1+$R$2</f>
        <v>24</v>
      </c>
      <c r="AD1">
        <f t="shared" ref="AD1:AE1" si="0">AC1+$R$2</f>
        <v>28</v>
      </c>
      <c r="AE1">
        <f t="shared" si="0"/>
        <v>32</v>
      </c>
    </row>
    <row r="2" spans="1:32" x14ac:dyDescent="0.25">
      <c r="E2">
        <v>16</v>
      </c>
      <c r="F2">
        <v>0</v>
      </c>
      <c r="G2">
        <v>0</v>
      </c>
      <c r="H2">
        <v>0</v>
      </c>
      <c r="I2">
        <v>0</v>
      </c>
      <c r="J2">
        <f>_xlfn.BINOM.DIST(F2,2*F$1,0.5,0)</f>
        <v>0.25</v>
      </c>
      <c r="K2">
        <f>_xlfn.BINOM.DIST(G2,2*G$1,0.5,0)</f>
        <v>6.25E-2</v>
      </c>
      <c r="L2">
        <f>_xlfn.BINOM.DIST(H2,2*H$1,0.5,0)</f>
        <v>3.9062500000000009E-3</v>
      </c>
      <c r="M2">
        <f>_xlfn.BINOM.DIST(I2,2*I$1,0.5,0)</f>
        <v>1.5258789062500007E-5</v>
      </c>
      <c r="P2" t="s">
        <v>16</v>
      </c>
      <c r="Q2">
        <f>AVERAGE(S2,U2)</f>
        <v>24</v>
      </c>
      <c r="R2">
        <f>(U2-S2)/2/2</f>
        <v>4</v>
      </c>
      <c r="S2">
        <v>16</v>
      </c>
      <c r="T2">
        <f>Q2</f>
        <v>24</v>
      </c>
      <c r="U2">
        <v>32</v>
      </c>
      <c r="V2">
        <f>0.5*R2^2</f>
        <v>8</v>
      </c>
      <c r="X2" t="s">
        <v>11</v>
      </c>
      <c r="Y2">
        <v>4</v>
      </c>
      <c r="Z2" s="1" t="s">
        <v>7</v>
      </c>
      <c r="AA2">
        <f>Y2</f>
        <v>4</v>
      </c>
      <c r="AB2">
        <f>AA2</f>
        <v>4</v>
      </c>
      <c r="AC2">
        <f>AB2</f>
        <v>4</v>
      </c>
      <c r="AD2">
        <f t="shared" ref="AD2:AE2" si="1">AC2</f>
        <v>4</v>
      </c>
      <c r="AE2">
        <f t="shared" si="1"/>
        <v>4</v>
      </c>
    </row>
    <row r="3" spans="1:32" x14ac:dyDescent="0.25">
      <c r="E3">
        <f>E2+1</f>
        <v>17</v>
      </c>
      <c r="I3">
        <v>1</v>
      </c>
      <c r="M3">
        <f>_xlfn.BINOM.DIST(I3,2*I$1,0.5,0)</f>
        <v>2.4414062500000027E-4</v>
      </c>
      <c r="X3" t="s">
        <v>10</v>
      </c>
      <c r="Y3">
        <f>V2*2/(V2*2+Y2)</f>
        <v>0.8</v>
      </c>
      <c r="Z3" t="s">
        <v>12</v>
      </c>
      <c r="AA3" s="1" t="s">
        <v>13</v>
      </c>
      <c r="AB3" s="1" t="s">
        <v>14</v>
      </c>
      <c r="AC3" s="1" t="s">
        <v>13</v>
      </c>
      <c r="AD3" s="1" t="s">
        <v>13</v>
      </c>
      <c r="AE3" s="1" t="s">
        <v>13</v>
      </c>
      <c r="AF3" s="1" t="s">
        <v>15</v>
      </c>
    </row>
    <row r="4" spans="1:32" x14ac:dyDescent="0.25">
      <c r="A4" s="2" t="s">
        <v>111</v>
      </c>
      <c r="E4">
        <f t="shared" ref="E4:E18" si="2">E3+1</f>
        <v>18</v>
      </c>
      <c r="H4">
        <v>1</v>
      </c>
      <c r="I4">
        <v>2</v>
      </c>
      <c r="L4">
        <f>_xlfn.BINOM.DIST(H4,2*H$1,0.5,0)</f>
        <v>3.1249999999999993E-2</v>
      </c>
      <c r="M4">
        <f t="shared" ref="L4:M18" si="3">_xlfn.BINOM.DIST(I4,2*I$1,0.5,0)</f>
        <v>1.8310546875000013E-3</v>
      </c>
      <c r="P4">
        <f>1/16</f>
        <v>6.25E-2</v>
      </c>
      <c r="Z4" s="1">
        <v>0</v>
      </c>
      <c r="AA4" s="1">
        <f t="shared" ref="AA4:AE13" si="4">_xlfn.NORM.DIST($Z4,AA$1,SQRT(AA$2),FALSE)</f>
        <v>2.5261355417684464E-15</v>
      </c>
      <c r="AB4" s="1">
        <f t="shared" si="4"/>
        <v>3.84729931335321E-23</v>
      </c>
      <c r="AC4" s="1">
        <f t="shared" si="4"/>
        <v>1.0731918678315302E-32</v>
      </c>
      <c r="AD4" s="1">
        <f t="shared" si="4"/>
        <v>5.4830327969448563E-44</v>
      </c>
      <c r="AE4" s="1">
        <f t="shared" si="4"/>
        <v>5.130815363959518E-57</v>
      </c>
      <c r="AF4" s="1">
        <f>AA4/16+AB4/4+AC4/8*3+AD4/4+AE4/16</f>
        <v>1.5788348097877619E-16</v>
      </c>
    </row>
    <row r="5" spans="1:32" x14ac:dyDescent="0.25">
      <c r="E5">
        <f t="shared" si="2"/>
        <v>19</v>
      </c>
      <c r="I5">
        <v>3</v>
      </c>
      <c r="M5">
        <f t="shared" si="3"/>
        <v>8.5449218749999931E-3</v>
      </c>
      <c r="Z5" s="1">
        <f>Z4+1</f>
        <v>1</v>
      </c>
      <c r="AA5" s="1">
        <f t="shared" si="4"/>
        <v>1.2171602665145048E-13</v>
      </c>
      <c r="AB5" s="1">
        <f t="shared" si="4"/>
        <v>5.0389676971500049E-21</v>
      </c>
      <c r="AC5" s="1">
        <f t="shared" si="4"/>
        <v>3.8208277057936016E-30</v>
      </c>
      <c r="AD5" s="1">
        <f t="shared" si="4"/>
        <v>5.3063440695760802E-41</v>
      </c>
      <c r="AE5" s="1">
        <f t="shared" si="4"/>
        <v>1.3497565122942938E-53</v>
      </c>
      <c r="AF5" s="1">
        <f t="shared" ref="AF5:AF51" si="5">AA5/16+AB5/4+AC5/8*3+AD5/4+AE5/16</f>
        <v>7.6072529254575805E-15</v>
      </c>
    </row>
    <row r="6" spans="1:32" x14ac:dyDescent="0.25">
      <c r="E6">
        <f t="shared" si="2"/>
        <v>20</v>
      </c>
      <c r="G6">
        <v>1</v>
      </c>
      <c r="H6">
        <v>2</v>
      </c>
      <c r="I6">
        <v>4</v>
      </c>
      <c r="K6">
        <f t="shared" ref="K6:K18" si="6">_xlfn.BINOM.DIST(G6,2*G$1,0.5,0)</f>
        <v>0.24999999999999994</v>
      </c>
      <c r="L6">
        <f t="shared" si="3"/>
        <v>0.10937500000000006</v>
      </c>
      <c r="M6">
        <f t="shared" si="3"/>
        <v>2.777099609375001E-2</v>
      </c>
      <c r="Z6" s="1">
        <f t="shared" ref="Z6:Z51" si="7">Z5+1</f>
        <v>2</v>
      </c>
      <c r="AA6" s="1">
        <f t="shared" si="4"/>
        <v>4.5673602041822968E-12</v>
      </c>
      <c r="AB6" s="1">
        <f t="shared" si="4"/>
        <v>5.1398867858344583E-19</v>
      </c>
      <c r="AC6" s="1">
        <f t="shared" si="4"/>
        <v>1.0594096267546769E-27</v>
      </c>
      <c r="AD6" s="1">
        <f t="shared" si="4"/>
        <v>3.9994138785034063E-38</v>
      </c>
      <c r="AE6" s="1">
        <f t="shared" si="4"/>
        <v>2.7653547749222082E-50</v>
      </c>
      <c r="AF6" s="1">
        <f t="shared" si="5"/>
        <v>2.8546014125856361E-13</v>
      </c>
    </row>
    <row r="7" spans="1:32" x14ac:dyDescent="0.25">
      <c r="E7">
        <f t="shared" si="2"/>
        <v>21</v>
      </c>
      <c r="I7">
        <v>5</v>
      </c>
      <c r="M7">
        <f t="shared" si="3"/>
        <v>6.6650390625E-2</v>
      </c>
      <c r="Z7" s="1">
        <f t="shared" si="7"/>
        <v>3</v>
      </c>
      <c r="AA7" s="1">
        <f t="shared" si="4"/>
        <v>1.334778307381426E-10</v>
      </c>
      <c r="AB7" s="1">
        <f t="shared" si="4"/>
        <v>4.0831178158347751E-17</v>
      </c>
      <c r="AC7" s="1">
        <f t="shared" si="4"/>
        <v>2.2876877952604028E-25</v>
      </c>
      <c r="AD7" s="1">
        <f t="shared" si="4"/>
        <v>2.3475976789875732E-35</v>
      </c>
      <c r="AE7" s="1">
        <f t="shared" si="4"/>
        <v>4.4123774872974124E-47</v>
      </c>
      <c r="AF7" s="1">
        <f t="shared" si="5"/>
        <v>8.342374628928538E-12</v>
      </c>
    </row>
    <row r="8" spans="1:32" x14ac:dyDescent="0.25">
      <c r="E8">
        <f t="shared" si="2"/>
        <v>22</v>
      </c>
      <c r="H8">
        <v>3</v>
      </c>
      <c r="I8">
        <v>6</v>
      </c>
      <c r="L8">
        <f t="shared" si="3"/>
        <v>0.21875</v>
      </c>
      <c r="M8">
        <f t="shared" si="3"/>
        <v>0.12219238281249999</v>
      </c>
      <c r="Z8" s="1">
        <f t="shared" si="7"/>
        <v>4</v>
      </c>
      <c r="AA8" s="1">
        <f t="shared" si="4"/>
        <v>3.037941424911643E-9</v>
      </c>
      <c r="AB8" s="1">
        <f t="shared" si="4"/>
        <v>2.5261355417684464E-15</v>
      </c>
      <c r="AC8" s="1">
        <f t="shared" si="4"/>
        <v>3.84729931335321E-23</v>
      </c>
      <c r="AD8" s="1">
        <f t="shared" si="4"/>
        <v>1.0731918678315302E-32</v>
      </c>
      <c r="AE8" s="1">
        <f t="shared" si="4"/>
        <v>5.4830327969448563E-44</v>
      </c>
      <c r="AF8" s="1">
        <f t="shared" si="5"/>
        <v>1.8987197059087755E-10</v>
      </c>
    </row>
    <row r="9" spans="1:32" x14ac:dyDescent="0.25">
      <c r="E9">
        <f t="shared" si="2"/>
        <v>23</v>
      </c>
      <c r="I9">
        <v>7</v>
      </c>
      <c r="M9">
        <f t="shared" si="3"/>
        <v>0.17456054687499997</v>
      </c>
      <c r="Z9" s="1">
        <f t="shared" si="7"/>
        <v>5</v>
      </c>
      <c r="AA9" s="1">
        <f t="shared" si="4"/>
        <v>5.384880021271638E-8</v>
      </c>
      <c r="AB9" s="1">
        <f t="shared" si="4"/>
        <v>1.2171602665145048E-13</v>
      </c>
      <c r="AC9" s="1">
        <f t="shared" si="4"/>
        <v>5.0389676971500049E-21</v>
      </c>
      <c r="AD9" s="1">
        <f t="shared" si="4"/>
        <v>3.8208277057936016E-30</v>
      </c>
      <c r="AE9" s="1">
        <f t="shared" si="4"/>
        <v>5.3063440695760802E-41</v>
      </c>
      <c r="AF9" s="1">
        <f t="shared" si="5"/>
        <v>3.3655804423033264E-9</v>
      </c>
    </row>
    <row r="10" spans="1:32" x14ac:dyDescent="0.25">
      <c r="E10">
        <f t="shared" si="2"/>
        <v>24</v>
      </c>
      <c r="F10">
        <v>1</v>
      </c>
      <c r="G10">
        <v>2</v>
      </c>
      <c r="H10">
        <v>4</v>
      </c>
      <c r="I10">
        <v>8</v>
      </c>
      <c r="J10">
        <f t="shared" ref="J10:J18" si="8">_xlfn.BINOM.DIST(F10,2*F$1,0.5,0)</f>
        <v>0.49999999999999994</v>
      </c>
      <c r="K10">
        <f t="shared" si="6"/>
        <v>0.375</v>
      </c>
      <c r="L10">
        <f t="shared" si="3"/>
        <v>0.27343750000000006</v>
      </c>
      <c r="M10">
        <f>_xlfn.BINOM.DIST(I10,2*I$1,0.5,0)</f>
        <v>0.196380615234375</v>
      </c>
      <c r="Z10" s="1">
        <f t="shared" si="7"/>
        <v>6</v>
      </c>
      <c r="AA10" s="1">
        <f t="shared" si="4"/>
        <v>7.4335975736714884E-7</v>
      </c>
      <c r="AB10" s="1">
        <f t="shared" si="4"/>
        <v>4.5673602041822968E-12</v>
      </c>
      <c r="AC10" s="1">
        <f t="shared" si="4"/>
        <v>5.1398867858344583E-19</v>
      </c>
      <c r="AD10" s="1">
        <f t="shared" si="4"/>
        <v>1.0594096267546769E-27</v>
      </c>
      <c r="AE10" s="1">
        <f t="shared" si="4"/>
        <v>3.9994138785034063E-38</v>
      </c>
      <c r="AF10" s="1">
        <f t="shared" si="5"/>
        <v>4.6461126675690592E-8</v>
      </c>
    </row>
    <row r="11" spans="1:32" x14ac:dyDescent="0.25">
      <c r="E11">
        <f t="shared" si="2"/>
        <v>25</v>
      </c>
      <c r="I11">
        <v>9</v>
      </c>
      <c r="M11">
        <f t="shared" si="3"/>
        <v>0.17456054687499997</v>
      </c>
      <c r="Z11" s="1">
        <f t="shared" si="7"/>
        <v>7</v>
      </c>
      <c r="AA11" s="1">
        <f t="shared" si="4"/>
        <v>7.9918705534527373E-6</v>
      </c>
      <c r="AB11" s="1">
        <f t="shared" si="4"/>
        <v>1.334778307381426E-10</v>
      </c>
      <c r="AC11" s="1">
        <f t="shared" si="4"/>
        <v>4.0831178158347751E-17</v>
      </c>
      <c r="AD11" s="1">
        <f t="shared" si="4"/>
        <v>2.2876877952604028E-25</v>
      </c>
      <c r="AE11" s="1">
        <f t="shared" si="4"/>
        <v>2.3475976789875732E-35</v>
      </c>
      <c r="AF11" s="1">
        <f t="shared" si="5"/>
        <v>4.9952527906379233E-7</v>
      </c>
    </row>
    <row r="12" spans="1:32" x14ac:dyDescent="0.25">
      <c r="E12">
        <f t="shared" si="2"/>
        <v>26</v>
      </c>
      <c r="H12">
        <v>5</v>
      </c>
      <c r="I12">
        <v>10</v>
      </c>
      <c r="L12">
        <f t="shared" si="3"/>
        <v>0.21875</v>
      </c>
      <c r="M12">
        <f t="shared" si="3"/>
        <v>0.12219238281249999</v>
      </c>
      <c r="Z12" s="1">
        <f t="shared" si="7"/>
        <v>8</v>
      </c>
      <c r="AA12" s="1">
        <f t="shared" si="4"/>
        <v>6.6915112882442684E-5</v>
      </c>
      <c r="AB12" s="1">
        <f t="shared" si="4"/>
        <v>3.037941424911643E-9</v>
      </c>
      <c r="AC12" s="1">
        <f t="shared" si="4"/>
        <v>2.5261355417684464E-15</v>
      </c>
      <c r="AD12" s="1">
        <f t="shared" si="4"/>
        <v>3.84729931335321E-23</v>
      </c>
      <c r="AE12" s="1">
        <f t="shared" si="4"/>
        <v>1.0731918678315302E-32</v>
      </c>
      <c r="AF12" s="1">
        <f t="shared" si="5"/>
        <v>4.1829540414561959E-6</v>
      </c>
    </row>
    <row r="13" spans="1:32" x14ac:dyDescent="0.25">
      <c r="E13">
        <f t="shared" si="2"/>
        <v>27</v>
      </c>
      <c r="I13">
        <v>11</v>
      </c>
      <c r="M13">
        <f t="shared" si="3"/>
        <v>6.6650390625E-2</v>
      </c>
      <c r="Z13" s="1">
        <f t="shared" si="7"/>
        <v>9</v>
      </c>
      <c r="AA13" s="1">
        <f t="shared" si="4"/>
        <v>4.3634134752288008E-4</v>
      </c>
      <c r="AB13" s="1">
        <f t="shared" si="4"/>
        <v>5.384880021271638E-8</v>
      </c>
      <c r="AC13" s="1">
        <f t="shared" si="4"/>
        <v>1.2171602665145048E-13</v>
      </c>
      <c r="AD13" s="1">
        <f t="shared" si="4"/>
        <v>5.0389676971500049E-21</v>
      </c>
      <c r="AE13" s="1">
        <f t="shared" si="4"/>
        <v>3.8208277057936016E-30</v>
      </c>
      <c r="AF13" s="1">
        <f t="shared" si="5"/>
        <v>2.7284796465876692E-5</v>
      </c>
    </row>
    <row r="14" spans="1:32" x14ac:dyDescent="0.25">
      <c r="E14">
        <f t="shared" si="2"/>
        <v>28</v>
      </c>
      <c r="G14">
        <v>3</v>
      </c>
      <c r="H14">
        <v>6</v>
      </c>
      <c r="I14">
        <v>12</v>
      </c>
      <c r="K14">
        <f t="shared" si="6"/>
        <v>0.25</v>
      </c>
      <c r="L14">
        <f t="shared" si="3"/>
        <v>0.10937500000000006</v>
      </c>
      <c r="M14">
        <f t="shared" si="3"/>
        <v>2.777099609375001E-2</v>
      </c>
      <c r="Z14" s="1">
        <f t="shared" si="7"/>
        <v>10</v>
      </c>
      <c r="AA14" s="1">
        <f t="shared" ref="AA14:AE23" si="9">_xlfn.NORM.DIST($Z14,AA$1,SQRT(AA$2),FALSE)</f>
        <v>2.2159242059690038E-3</v>
      </c>
      <c r="AB14" s="1">
        <f t="shared" si="9"/>
        <v>7.4335975736714884E-7</v>
      </c>
      <c r="AC14" s="1">
        <f t="shared" si="9"/>
        <v>4.5673602041822968E-12</v>
      </c>
      <c r="AD14" s="1">
        <f t="shared" si="9"/>
        <v>5.1398867858344583E-19</v>
      </c>
      <c r="AE14" s="1">
        <f t="shared" si="9"/>
        <v>1.0594096267546769E-27</v>
      </c>
      <c r="AF14" s="1">
        <f t="shared" si="5"/>
        <v>1.3868110452516474E-4</v>
      </c>
    </row>
    <row r="15" spans="1:32" x14ac:dyDescent="0.25">
      <c r="E15">
        <f t="shared" si="2"/>
        <v>29</v>
      </c>
      <c r="I15">
        <v>13</v>
      </c>
      <c r="M15">
        <f t="shared" si="3"/>
        <v>8.5449218749999896E-3</v>
      </c>
      <c r="Z15" s="1">
        <f t="shared" si="7"/>
        <v>11</v>
      </c>
      <c r="AA15" s="1">
        <f t="shared" si="9"/>
        <v>8.7641502467842702E-3</v>
      </c>
      <c r="AB15" s="1">
        <f t="shared" si="9"/>
        <v>7.9918705534527373E-6</v>
      </c>
      <c r="AC15" s="1">
        <f t="shared" si="9"/>
        <v>1.334778307381426E-10</v>
      </c>
      <c r="AD15" s="1">
        <f t="shared" si="9"/>
        <v>4.0831178158347751E-17</v>
      </c>
      <c r="AE15" s="1">
        <f t="shared" si="9"/>
        <v>2.2876877952604028E-25</v>
      </c>
      <c r="AF15" s="1">
        <f t="shared" si="5"/>
        <v>5.4975740811657678E-4</v>
      </c>
    </row>
    <row r="16" spans="1:32" x14ac:dyDescent="0.25">
      <c r="E16">
        <f t="shared" si="2"/>
        <v>30</v>
      </c>
      <c r="H16">
        <v>7</v>
      </c>
      <c r="I16">
        <v>14</v>
      </c>
      <c r="L16">
        <f t="shared" si="3"/>
        <v>3.1250000000000007E-2</v>
      </c>
      <c r="M16">
        <f t="shared" si="3"/>
        <v>1.8310546875000013E-3</v>
      </c>
      <c r="Z16" s="1">
        <f t="shared" si="7"/>
        <v>12</v>
      </c>
      <c r="AA16" s="1">
        <f t="shared" si="9"/>
        <v>2.6995483256594031E-2</v>
      </c>
      <c r="AB16" s="1">
        <f t="shared" si="9"/>
        <v>6.6915112882442684E-5</v>
      </c>
      <c r="AC16" s="1">
        <f t="shared" si="9"/>
        <v>3.037941424911643E-9</v>
      </c>
      <c r="AD16" s="1">
        <f t="shared" si="9"/>
        <v>2.5261355417684464E-15</v>
      </c>
      <c r="AE16" s="1">
        <f t="shared" si="9"/>
        <v>3.84729931335321E-23</v>
      </c>
      <c r="AF16" s="1">
        <f t="shared" si="5"/>
        <v>1.7039476209864035E-3</v>
      </c>
    </row>
    <row r="17" spans="5:32" x14ac:dyDescent="0.25">
      <c r="E17">
        <f t="shared" si="2"/>
        <v>31</v>
      </c>
      <c r="I17">
        <v>15</v>
      </c>
      <c r="M17">
        <f t="shared" si="3"/>
        <v>2.4414062500000027E-4</v>
      </c>
      <c r="Z17" s="1">
        <f t="shared" si="7"/>
        <v>13</v>
      </c>
      <c r="AA17" s="1">
        <f t="shared" si="9"/>
        <v>6.4758797832945872E-2</v>
      </c>
      <c r="AB17" s="1">
        <f t="shared" si="9"/>
        <v>4.3634134752288008E-4</v>
      </c>
      <c r="AC17" s="1">
        <f t="shared" si="9"/>
        <v>5.384880021271638E-8</v>
      </c>
      <c r="AD17" s="1">
        <f t="shared" si="9"/>
        <v>1.2171602665145048E-13</v>
      </c>
      <c r="AE17" s="1">
        <f t="shared" si="9"/>
        <v>5.0389676971500049E-21</v>
      </c>
      <c r="AF17" s="1">
        <f t="shared" si="5"/>
        <v>4.156530394770346E-3</v>
      </c>
    </row>
    <row r="18" spans="5:32" x14ac:dyDescent="0.25">
      <c r="E18">
        <f t="shared" si="2"/>
        <v>32</v>
      </c>
      <c r="F18">
        <v>2</v>
      </c>
      <c r="G18">
        <v>4</v>
      </c>
      <c r="H18">
        <v>8</v>
      </c>
      <c r="I18">
        <v>16</v>
      </c>
      <c r="J18">
        <f t="shared" si="8"/>
        <v>0.25</v>
      </c>
      <c r="K18">
        <f t="shared" si="6"/>
        <v>6.25E-2</v>
      </c>
      <c r="L18">
        <f t="shared" si="3"/>
        <v>3.9062500000000009E-3</v>
      </c>
      <c r="M18">
        <f t="shared" si="3"/>
        <v>1.5258789062500007E-5</v>
      </c>
      <c r="Z18" s="1">
        <f t="shared" si="7"/>
        <v>14</v>
      </c>
      <c r="AA18" s="1">
        <f t="shared" si="9"/>
        <v>0.12098536225957168</v>
      </c>
      <c r="AB18" s="1">
        <f t="shared" si="9"/>
        <v>2.2159242059690038E-3</v>
      </c>
      <c r="AC18" s="1">
        <f t="shared" si="9"/>
        <v>7.4335975736714884E-7</v>
      </c>
      <c r="AD18" s="1">
        <f t="shared" si="9"/>
        <v>4.5673602041822968E-12</v>
      </c>
      <c r="AE18" s="1">
        <f t="shared" si="9"/>
        <v>5.1398867858344583E-19</v>
      </c>
      <c r="AF18" s="1">
        <f t="shared" si="5"/>
        <v>8.1158449537663338E-3</v>
      </c>
    </row>
    <row r="19" spans="5:32" x14ac:dyDescent="0.25">
      <c r="Z19" s="1">
        <f t="shared" si="7"/>
        <v>15</v>
      </c>
      <c r="AA19" s="1">
        <f t="shared" si="9"/>
        <v>0.17603266338214976</v>
      </c>
      <c r="AB19" s="1">
        <f t="shared" si="9"/>
        <v>8.7641502467842702E-3</v>
      </c>
      <c r="AC19" s="1">
        <f t="shared" si="9"/>
        <v>7.9918705534527373E-6</v>
      </c>
      <c r="AD19" s="1">
        <f t="shared" si="9"/>
        <v>1.334778307381426E-10</v>
      </c>
      <c r="AE19" s="1">
        <f t="shared" si="9"/>
        <v>4.0831178158347751E-17</v>
      </c>
      <c r="AF19" s="1">
        <f t="shared" si="5"/>
        <v>1.3196076007907433E-2</v>
      </c>
    </row>
    <row r="20" spans="5:32" x14ac:dyDescent="0.25">
      <c r="Z20" s="2">
        <f t="shared" si="7"/>
        <v>16</v>
      </c>
      <c r="AA20" s="1">
        <f t="shared" si="9"/>
        <v>0.19947114020071635</v>
      </c>
      <c r="AB20" s="1">
        <f t="shared" si="9"/>
        <v>2.6995483256594031E-2</v>
      </c>
      <c r="AC20" s="1">
        <f t="shared" si="9"/>
        <v>6.6915112882442684E-5</v>
      </c>
      <c r="AD20" s="1">
        <f t="shared" si="9"/>
        <v>3.037941424911643E-9</v>
      </c>
      <c r="AE20" s="1">
        <f t="shared" si="9"/>
        <v>2.5261355417684464E-15</v>
      </c>
      <c r="AF20" s="1">
        <f t="shared" si="5"/>
        <v>1.9240911003509713E-2</v>
      </c>
    </row>
    <row r="21" spans="5:32" x14ac:dyDescent="0.25">
      <c r="E21">
        <v>12</v>
      </c>
      <c r="Z21" s="1">
        <f t="shared" si="7"/>
        <v>17</v>
      </c>
      <c r="AA21" s="1">
        <f t="shared" si="9"/>
        <v>0.17603266338214976</v>
      </c>
      <c r="AB21" s="1">
        <f t="shared" si="9"/>
        <v>6.4758797832945872E-2</v>
      </c>
      <c r="AC21" s="1">
        <f t="shared" si="9"/>
        <v>4.3634134752288008E-4</v>
      </c>
      <c r="AD21" s="1">
        <f t="shared" si="9"/>
        <v>5.384880021271638E-8</v>
      </c>
      <c r="AE21" s="1">
        <f t="shared" si="9"/>
        <v>1.2171602665145048E-13</v>
      </c>
      <c r="AF21" s="1">
        <f t="shared" si="5"/>
        <v>2.735538238714957E-2</v>
      </c>
    </row>
    <row r="22" spans="5:32" x14ac:dyDescent="0.25">
      <c r="E22">
        <v>13</v>
      </c>
      <c r="Z22" s="1">
        <f t="shared" si="7"/>
        <v>18</v>
      </c>
      <c r="AA22" s="1">
        <f t="shared" si="9"/>
        <v>0.12098536225957168</v>
      </c>
      <c r="AB22" s="1">
        <f t="shared" si="9"/>
        <v>0.12098536225957168</v>
      </c>
      <c r="AC22" s="1">
        <f t="shared" si="9"/>
        <v>2.2159242059690038E-3</v>
      </c>
      <c r="AD22" s="1">
        <f t="shared" si="9"/>
        <v>7.4335975736714884E-7</v>
      </c>
      <c r="AE22" s="1">
        <f t="shared" si="9"/>
        <v>4.5673602041822968E-12</v>
      </c>
      <c r="AF22" s="1">
        <f t="shared" si="5"/>
        <v>3.8639083123579325E-2</v>
      </c>
    </row>
    <row r="23" spans="5:32" x14ac:dyDescent="0.25">
      <c r="E23">
        <v>14</v>
      </c>
      <c r="Z23" s="1">
        <f t="shared" si="7"/>
        <v>19</v>
      </c>
      <c r="AA23" s="1">
        <f t="shared" si="9"/>
        <v>6.4758797832945872E-2</v>
      </c>
      <c r="AB23" s="1">
        <f t="shared" si="9"/>
        <v>0.17603266338214976</v>
      </c>
      <c r="AC23" s="1">
        <f t="shared" si="9"/>
        <v>8.7641502467842702E-3</v>
      </c>
      <c r="AD23" s="1">
        <f t="shared" si="9"/>
        <v>7.9918705534527373E-6</v>
      </c>
      <c r="AE23" s="1">
        <f t="shared" si="9"/>
        <v>1.334778307381426E-10</v>
      </c>
      <c r="AF23" s="1">
        <f t="shared" si="5"/>
        <v>5.1344145028621384E-2</v>
      </c>
    </row>
    <row r="24" spans="5:32" x14ac:dyDescent="0.25">
      <c r="E24">
        <v>15</v>
      </c>
      <c r="Z24" s="1">
        <f t="shared" si="7"/>
        <v>20</v>
      </c>
      <c r="AA24" s="1">
        <f t="shared" ref="AA24:AE33" si="10">_xlfn.NORM.DIST($Z24,AA$1,SQRT(AA$2),FALSE)</f>
        <v>2.6995483256594031E-2</v>
      </c>
      <c r="AB24" s="1">
        <f t="shared" si="10"/>
        <v>0.19947114020071635</v>
      </c>
      <c r="AC24" s="1">
        <f t="shared" si="10"/>
        <v>2.6995483256594031E-2</v>
      </c>
      <c r="AD24" s="1">
        <f t="shared" si="10"/>
        <v>6.6915112882442684E-5</v>
      </c>
      <c r="AE24" s="1">
        <f t="shared" si="10"/>
        <v>3.037941424911643E-9</v>
      </c>
      <c r="AF24" s="1">
        <f t="shared" si="5"/>
        <v>6.1695037943030932E-2</v>
      </c>
    </row>
    <row r="25" spans="5:32" x14ac:dyDescent="0.25">
      <c r="E25" s="2">
        <v>16</v>
      </c>
      <c r="F25">
        <f>J2</f>
        <v>0.25</v>
      </c>
      <c r="Z25" s="1">
        <f t="shared" si="7"/>
        <v>21</v>
      </c>
      <c r="AA25" s="1">
        <f t="shared" si="10"/>
        <v>8.7641502467842702E-3</v>
      </c>
      <c r="AB25" s="1">
        <f t="shared" si="10"/>
        <v>0.17603266338214976</v>
      </c>
      <c r="AC25" s="1">
        <f t="shared" si="10"/>
        <v>6.4758797832945872E-2</v>
      </c>
      <c r="AD25" s="1">
        <f t="shared" si="10"/>
        <v>4.3634134752288008E-4</v>
      </c>
      <c r="AE25" s="1">
        <f t="shared" si="10"/>
        <v>5.384880021271638E-8</v>
      </c>
      <c r="AF25" s="1">
        <f t="shared" si="5"/>
        <v>6.8949563125746904E-2</v>
      </c>
    </row>
    <row r="26" spans="5:32" x14ac:dyDescent="0.25">
      <c r="E26">
        <v>17</v>
      </c>
      <c r="Z26" s="1">
        <f t="shared" si="7"/>
        <v>22</v>
      </c>
      <c r="AA26" s="1">
        <f t="shared" si="10"/>
        <v>2.2159242059690038E-3</v>
      </c>
      <c r="AB26" s="1">
        <f t="shared" si="10"/>
        <v>0.12098536225957168</v>
      </c>
      <c r="AC26" s="1">
        <f t="shared" si="10"/>
        <v>0.12098536225957168</v>
      </c>
      <c r="AD26" s="1">
        <f t="shared" si="10"/>
        <v>2.2159242059690038E-3</v>
      </c>
      <c r="AE26" s="1">
        <f t="shared" si="10"/>
        <v>7.4335975736714884E-7</v>
      </c>
      <c r="AF26" s="1">
        <f t="shared" si="5"/>
        <v>7.6308374186582442E-2</v>
      </c>
    </row>
    <row r="27" spans="5:32" x14ac:dyDescent="0.25">
      <c r="E27">
        <v>18</v>
      </c>
      <c r="Z27" s="1">
        <f t="shared" si="7"/>
        <v>23</v>
      </c>
      <c r="AA27" s="1">
        <f t="shared" si="10"/>
        <v>4.3634134752288008E-4</v>
      </c>
      <c r="AB27" s="1">
        <f t="shared" si="10"/>
        <v>6.4758797832945872E-2</v>
      </c>
      <c r="AC27" s="1">
        <f t="shared" si="10"/>
        <v>0.17603266338214976</v>
      </c>
      <c r="AD27" s="1">
        <f t="shared" si="10"/>
        <v>8.7641502467842702E-3</v>
      </c>
      <c r="AE27" s="1">
        <f t="shared" si="10"/>
        <v>7.9918705534527373E-6</v>
      </c>
      <c r="AF27" s="1">
        <f t="shared" si="5"/>
        <v>8.4420756614368486E-2</v>
      </c>
    </row>
    <row r="28" spans="5:32" x14ac:dyDescent="0.25">
      <c r="E28">
        <v>19</v>
      </c>
      <c r="Z28" s="2">
        <f t="shared" si="7"/>
        <v>24</v>
      </c>
      <c r="AA28" s="1">
        <f t="shared" si="10"/>
        <v>6.6915112882442684E-5</v>
      </c>
      <c r="AB28" s="1">
        <f t="shared" si="10"/>
        <v>2.6995483256594031E-2</v>
      </c>
      <c r="AC28" s="1">
        <f t="shared" si="10"/>
        <v>0.19947114020071635</v>
      </c>
      <c r="AD28" s="1">
        <f t="shared" si="10"/>
        <v>2.6995483256594031E-2</v>
      </c>
      <c r="AE28" s="1">
        <f t="shared" si="10"/>
        <v>6.6915112882442684E-5</v>
      </c>
      <c r="AF28" s="1">
        <f t="shared" si="5"/>
        <v>8.8307783592675951E-2</v>
      </c>
    </row>
    <row r="29" spans="5:32" x14ac:dyDescent="0.25">
      <c r="E29">
        <v>20</v>
      </c>
      <c r="Z29" s="1">
        <f t="shared" si="7"/>
        <v>25</v>
      </c>
      <c r="AA29" s="1">
        <f t="shared" si="10"/>
        <v>7.9918705534527373E-6</v>
      </c>
      <c r="AB29" s="1">
        <f t="shared" si="10"/>
        <v>8.7641502467842702E-3</v>
      </c>
      <c r="AC29" s="1">
        <f t="shared" si="10"/>
        <v>0.17603266338214976</v>
      </c>
      <c r="AD29" s="1">
        <f t="shared" si="10"/>
        <v>6.4758797832945872E-2</v>
      </c>
      <c r="AE29" s="1">
        <f t="shared" si="10"/>
        <v>4.3634134752288008E-4</v>
      </c>
      <c r="AF29" s="1">
        <f t="shared" si="5"/>
        <v>8.4420756614368458E-2</v>
      </c>
    </row>
    <row r="30" spans="5:32" x14ac:dyDescent="0.25">
      <c r="E30">
        <v>21</v>
      </c>
      <c r="Z30" s="1">
        <f t="shared" si="7"/>
        <v>26</v>
      </c>
      <c r="AA30" s="1">
        <f t="shared" si="10"/>
        <v>7.4335975736714884E-7</v>
      </c>
      <c r="AB30" s="1">
        <f t="shared" si="10"/>
        <v>2.2159242059690038E-3</v>
      </c>
      <c r="AC30" s="1">
        <f t="shared" si="10"/>
        <v>0.12098536225957168</v>
      </c>
      <c r="AD30" s="1">
        <f t="shared" si="10"/>
        <v>0.12098536225957168</v>
      </c>
      <c r="AE30" s="1">
        <f t="shared" si="10"/>
        <v>2.2159242059690038E-3</v>
      </c>
      <c r="AF30" s="1">
        <f t="shared" si="5"/>
        <v>7.6308374186582442E-2</v>
      </c>
    </row>
    <row r="31" spans="5:32" x14ac:dyDescent="0.25">
      <c r="E31">
        <v>22</v>
      </c>
      <c r="Z31" s="1">
        <f t="shared" si="7"/>
        <v>27</v>
      </c>
      <c r="AA31" s="1">
        <f t="shared" si="10"/>
        <v>5.384880021271638E-8</v>
      </c>
      <c r="AB31" s="1">
        <f t="shared" si="10"/>
        <v>4.3634134752288008E-4</v>
      </c>
      <c r="AC31" s="1">
        <f t="shared" si="10"/>
        <v>6.4758797832945872E-2</v>
      </c>
      <c r="AD31" s="1">
        <f t="shared" si="10"/>
        <v>0.17603266338214976</v>
      </c>
      <c r="AE31" s="1">
        <f t="shared" si="10"/>
        <v>8.7641502467842702E-3</v>
      </c>
      <c r="AF31" s="1">
        <f t="shared" si="5"/>
        <v>6.8949563125746891E-2</v>
      </c>
    </row>
    <row r="32" spans="5:32" x14ac:dyDescent="0.25">
      <c r="E32">
        <v>23</v>
      </c>
      <c r="Z32" s="1">
        <f t="shared" si="7"/>
        <v>28</v>
      </c>
      <c r="AA32" s="1">
        <f t="shared" si="10"/>
        <v>3.037941424911643E-9</v>
      </c>
      <c r="AB32" s="1">
        <f t="shared" si="10"/>
        <v>6.6915112882442684E-5</v>
      </c>
      <c r="AC32" s="1">
        <f t="shared" si="10"/>
        <v>2.6995483256594031E-2</v>
      </c>
      <c r="AD32" s="1">
        <f t="shared" si="10"/>
        <v>0.19947114020071635</v>
      </c>
      <c r="AE32" s="1">
        <f t="shared" si="10"/>
        <v>2.6995483256594031E-2</v>
      </c>
      <c r="AF32" s="1">
        <f t="shared" si="5"/>
        <v>6.1695037943030925E-2</v>
      </c>
    </row>
    <row r="33" spans="5:32" x14ac:dyDescent="0.25">
      <c r="E33">
        <v>24</v>
      </c>
      <c r="F33">
        <f>J10</f>
        <v>0.49999999999999994</v>
      </c>
      <c r="Z33" s="1">
        <f t="shared" si="7"/>
        <v>29</v>
      </c>
      <c r="AA33" s="1">
        <f t="shared" si="10"/>
        <v>1.334778307381426E-10</v>
      </c>
      <c r="AB33" s="1">
        <f t="shared" si="10"/>
        <v>7.9918705534527373E-6</v>
      </c>
      <c r="AC33" s="1">
        <f t="shared" si="10"/>
        <v>8.7641502467842702E-3</v>
      </c>
      <c r="AD33" s="1">
        <f t="shared" si="10"/>
        <v>0.17603266338214976</v>
      </c>
      <c r="AE33" s="1">
        <f t="shared" si="10"/>
        <v>6.4758797832945872E-2</v>
      </c>
      <c r="AF33" s="1">
        <f t="shared" si="5"/>
        <v>5.1344145028621391E-2</v>
      </c>
    </row>
    <row r="34" spans="5:32" x14ac:dyDescent="0.25">
      <c r="E34">
        <v>25</v>
      </c>
      <c r="Z34" s="1">
        <f t="shared" si="7"/>
        <v>30</v>
      </c>
      <c r="AA34" s="1">
        <f t="shared" ref="AA34:AE43" si="11">_xlfn.NORM.DIST($Z34,AA$1,SQRT(AA$2),FALSE)</f>
        <v>4.5673602041822968E-12</v>
      </c>
      <c r="AB34" s="1">
        <f t="shared" si="11"/>
        <v>7.4335975736714884E-7</v>
      </c>
      <c r="AC34" s="1">
        <f t="shared" si="11"/>
        <v>2.2159242059690038E-3</v>
      </c>
      <c r="AD34" s="1">
        <f t="shared" si="11"/>
        <v>0.12098536225957168</v>
      </c>
      <c r="AE34" s="1">
        <f t="shared" si="11"/>
        <v>0.12098536225957168</v>
      </c>
      <c r="AF34" s="1">
        <f t="shared" si="5"/>
        <v>3.8639083123579332E-2</v>
      </c>
    </row>
    <row r="35" spans="5:32" x14ac:dyDescent="0.25">
      <c r="E35">
        <v>26</v>
      </c>
      <c r="Z35" s="1">
        <f t="shared" si="7"/>
        <v>31</v>
      </c>
      <c r="AA35" s="1">
        <f t="shared" si="11"/>
        <v>1.2171602665145048E-13</v>
      </c>
      <c r="AB35" s="1">
        <f t="shared" si="11"/>
        <v>5.384880021271638E-8</v>
      </c>
      <c r="AC35" s="1">
        <f t="shared" si="11"/>
        <v>4.3634134752288008E-4</v>
      </c>
      <c r="AD35" s="1">
        <f t="shared" si="11"/>
        <v>6.4758797832945872E-2</v>
      </c>
      <c r="AE35" s="1">
        <f t="shared" si="11"/>
        <v>0.17603266338214976</v>
      </c>
      <c r="AF35" s="1">
        <f t="shared" si="5"/>
        <v>2.7355382387149567E-2</v>
      </c>
    </row>
    <row r="36" spans="5:32" x14ac:dyDescent="0.25">
      <c r="E36">
        <v>27</v>
      </c>
      <c r="Z36" s="2">
        <f t="shared" si="7"/>
        <v>32</v>
      </c>
      <c r="AA36" s="1">
        <f t="shared" si="11"/>
        <v>2.5261355417684464E-15</v>
      </c>
      <c r="AB36" s="1">
        <f t="shared" si="11"/>
        <v>3.037941424911643E-9</v>
      </c>
      <c r="AC36" s="1">
        <f t="shared" si="11"/>
        <v>6.6915112882442684E-5</v>
      </c>
      <c r="AD36" s="1">
        <f t="shared" si="11"/>
        <v>2.6995483256594031E-2</v>
      </c>
      <c r="AE36" s="1">
        <f t="shared" si="11"/>
        <v>0.19947114020071635</v>
      </c>
      <c r="AF36" s="1">
        <f t="shared" si="5"/>
        <v>1.9240911003509709E-2</v>
      </c>
    </row>
    <row r="37" spans="5:32" x14ac:dyDescent="0.25">
      <c r="E37">
        <v>28</v>
      </c>
      <c r="Z37" s="1">
        <f t="shared" si="7"/>
        <v>33</v>
      </c>
      <c r="AA37" s="1">
        <f t="shared" si="11"/>
        <v>4.0831178158347751E-17</v>
      </c>
      <c r="AB37" s="1">
        <f t="shared" si="11"/>
        <v>1.334778307381426E-10</v>
      </c>
      <c r="AC37" s="1">
        <f t="shared" si="11"/>
        <v>7.9918705534527373E-6</v>
      </c>
      <c r="AD37" s="1">
        <f t="shared" si="11"/>
        <v>8.7641502467842702E-3</v>
      </c>
      <c r="AE37" s="1">
        <f t="shared" si="11"/>
        <v>0.17603266338214976</v>
      </c>
      <c r="AF37" s="1">
        <f t="shared" si="5"/>
        <v>1.3196076007907433E-2</v>
      </c>
    </row>
    <row r="38" spans="5:32" x14ac:dyDescent="0.25">
      <c r="E38">
        <v>29</v>
      </c>
      <c r="Z38" s="1">
        <f t="shared" si="7"/>
        <v>34</v>
      </c>
      <c r="AA38" s="1">
        <f t="shared" si="11"/>
        <v>5.1398867858344583E-19</v>
      </c>
      <c r="AB38" s="1">
        <f t="shared" si="11"/>
        <v>4.5673602041822968E-12</v>
      </c>
      <c r="AC38" s="1">
        <f t="shared" si="11"/>
        <v>7.4335975736714884E-7</v>
      </c>
      <c r="AD38" s="1">
        <f t="shared" si="11"/>
        <v>2.2159242059690038E-3</v>
      </c>
      <c r="AE38" s="1">
        <f t="shared" si="11"/>
        <v>0.12098536225957168</v>
      </c>
      <c r="AF38" s="1">
        <f t="shared" si="5"/>
        <v>8.1158449537663338E-3</v>
      </c>
    </row>
    <row r="39" spans="5:32" x14ac:dyDescent="0.25">
      <c r="E39">
        <v>30</v>
      </c>
      <c r="Z39" s="1">
        <f t="shared" si="7"/>
        <v>35</v>
      </c>
      <c r="AA39" s="1">
        <f t="shared" si="11"/>
        <v>5.0389676971500049E-21</v>
      </c>
      <c r="AB39" s="1">
        <f t="shared" si="11"/>
        <v>1.2171602665145048E-13</v>
      </c>
      <c r="AC39" s="1">
        <f t="shared" si="11"/>
        <v>5.384880021271638E-8</v>
      </c>
      <c r="AD39" s="1">
        <f t="shared" si="11"/>
        <v>4.3634134752288008E-4</v>
      </c>
      <c r="AE39" s="1">
        <f t="shared" si="11"/>
        <v>6.4758797832945872E-2</v>
      </c>
      <c r="AF39" s="1">
        <f t="shared" si="5"/>
        <v>4.156530394770346E-3</v>
      </c>
    </row>
    <row r="40" spans="5:32" x14ac:dyDescent="0.25">
      <c r="E40">
        <v>31</v>
      </c>
      <c r="Z40" s="1">
        <f t="shared" si="7"/>
        <v>36</v>
      </c>
      <c r="AA40" s="1">
        <f t="shared" si="11"/>
        <v>3.84729931335321E-23</v>
      </c>
      <c r="AB40" s="1">
        <f t="shared" si="11"/>
        <v>2.5261355417684464E-15</v>
      </c>
      <c r="AC40" s="1">
        <f t="shared" si="11"/>
        <v>3.037941424911643E-9</v>
      </c>
      <c r="AD40" s="1">
        <f t="shared" si="11"/>
        <v>6.6915112882442684E-5</v>
      </c>
      <c r="AE40" s="1">
        <f t="shared" si="11"/>
        <v>2.6995483256594031E-2</v>
      </c>
      <c r="AF40" s="1">
        <f t="shared" si="5"/>
        <v>1.7039476209864035E-3</v>
      </c>
    </row>
    <row r="41" spans="5:32" x14ac:dyDescent="0.25">
      <c r="E41" s="2">
        <v>32</v>
      </c>
      <c r="F41">
        <f>J18</f>
        <v>0.25</v>
      </c>
      <c r="Z41" s="1">
        <f t="shared" si="7"/>
        <v>37</v>
      </c>
      <c r="AA41" s="1">
        <f t="shared" si="11"/>
        <v>2.2876877952604028E-25</v>
      </c>
      <c r="AB41" s="1">
        <f t="shared" si="11"/>
        <v>4.0831178158347751E-17</v>
      </c>
      <c r="AC41" s="1">
        <f t="shared" si="11"/>
        <v>1.334778307381426E-10</v>
      </c>
      <c r="AD41" s="1">
        <f t="shared" si="11"/>
        <v>7.9918705534527373E-6</v>
      </c>
      <c r="AE41" s="1">
        <f t="shared" si="11"/>
        <v>8.7641502467842702E-3</v>
      </c>
      <c r="AF41" s="1">
        <f t="shared" si="5"/>
        <v>5.4975740811657678E-4</v>
      </c>
    </row>
    <row r="42" spans="5:32" x14ac:dyDescent="0.25">
      <c r="E42">
        <v>33</v>
      </c>
      <c r="Z42" s="1">
        <f t="shared" si="7"/>
        <v>38</v>
      </c>
      <c r="AA42" s="1">
        <f t="shared" si="11"/>
        <v>1.0594096267546769E-27</v>
      </c>
      <c r="AB42" s="1">
        <f t="shared" si="11"/>
        <v>5.1398867858344583E-19</v>
      </c>
      <c r="AC42" s="1">
        <f t="shared" si="11"/>
        <v>4.5673602041822968E-12</v>
      </c>
      <c r="AD42" s="1">
        <f t="shared" si="11"/>
        <v>7.4335975736714884E-7</v>
      </c>
      <c r="AE42" s="1">
        <f t="shared" si="11"/>
        <v>2.2159242059690038E-3</v>
      </c>
      <c r="AF42" s="1">
        <f t="shared" si="5"/>
        <v>1.3868110452516474E-4</v>
      </c>
    </row>
    <row r="43" spans="5:32" x14ac:dyDescent="0.25">
      <c r="E43">
        <v>34</v>
      </c>
      <c r="Z43" s="1">
        <f t="shared" si="7"/>
        <v>39</v>
      </c>
      <c r="AA43" s="1">
        <f t="shared" si="11"/>
        <v>3.8208277057936016E-30</v>
      </c>
      <c r="AB43" s="1">
        <f t="shared" si="11"/>
        <v>5.0389676971500049E-21</v>
      </c>
      <c r="AC43" s="1">
        <f t="shared" si="11"/>
        <v>1.2171602665145048E-13</v>
      </c>
      <c r="AD43" s="1">
        <f t="shared" si="11"/>
        <v>5.384880021271638E-8</v>
      </c>
      <c r="AE43" s="1">
        <f t="shared" si="11"/>
        <v>4.3634134752288008E-4</v>
      </c>
      <c r="AF43" s="1">
        <f t="shared" si="5"/>
        <v>2.7284796465876695E-5</v>
      </c>
    </row>
    <row r="44" spans="5:32" x14ac:dyDescent="0.25">
      <c r="E44">
        <v>35</v>
      </c>
      <c r="Z44" s="1">
        <f t="shared" si="7"/>
        <v>40</v>
      </c>
      <c r="AA44" s="1">
        <f t="shared" ref="AA44:AE51" si="12">_xlfn.NORM.DIST($Z44,AA$1,SQRT(AA$2),FALSE)</f>
        <v>1.0731918678315302E-32</v>
      </c>
      <c r="AB44" s="1">
        <f t="shared" si="12"/>
        <v>3.84729931335321E-23</v>
      </c>
      <c r="AC44" s="1">
        <f t="shared" si="12"/>
        <v>2.5261355417684464E-15</v>
      </c>
      <c r="AD44" s="1">
        <f t="shared" si="12"/>
        <v>3.037941424911643E-9</v>
      </c>
      <c r="AE44" s="1">
        <f t="shared" si="12"/>
        <v>6.6915112882442684E-5</v>
      </c>
      <c r="AF44" s="1">
        <f t="shared" si="5"/>
        <v>4.1829540414561968E-6</v>
      </c>
    </row>
    <row r="45" spans="5:32" x14ac:dyDescent="0.25">
      <c r="E45">
        <v>12</v>
      </c>
      <c r="Z45" s="1">
        <f t="shared" si="7"/>
        <v>41</v>
      </c>
      <c r="AA45" s="1">
        <f t="shared" si="12"/>
        <v>2.3475976789875732E-35</v>
      </c>
      <c r="AB45" s="1">
        <f t="shared" si="12"/>
        <v>2.2876877952604028E-25</v>
      </c>
      <c r="AC45" s="1">
        <f t="shared" si="12"/>
        <v>4.0831178158347751E-17</v>
      </c>
      <c r="AD45" s="1">
        <f t="shared" si="12"/>
        <v>1.334778307381426E-10</v>
      </c>
      <c r="AE45" s="1">
        <f t="shared" si="12"/>
        <v>7.9918705534527373E-6</v>
      </c>
      <c r="AF45" s="1">
        <f t="shared" si="5"/>
        <v>4.9952527906379233E-7</v>
      </c>
    </row>
    <row r="46" spans="5:32" x14ac:dyDescent="0.25">
      <c r="E46">
        <v>13</v>
      </c>
      <c r="Z46" s="1">
        <f t="shared" si="7"/>
        <v>42</v>
      </c>
      <c r="AA46" s="1">
        <f t="shared" si="12"/>
        <v>3.9994138785034063E-38</v>
      </c>
      <c r="AB46" s="1">
        <f t="shared" si="12"/>
        <v>1.0594096267546769E-27</v>
      </c>
      <c r="AC46" s="1">
        <f t="shared" si="12"/>
        <v>5.1398867858344583E-19</v>
      </c>
      <c r="AD46" s="1">
        <f t="shared" si="12"/>
        <v>4.5673602041822968E-12</v>
      </c>
      <c r="AE46" s="1">
        <f t="shared" si="12"/>
        <v>7.4335975736714884E-7</v>
      </c>
      <c r="AF46" s="1">
        <f t="shared" si="5"/>
        <v>4.6461126675690592E-8</v>
      </c>
    </row>
    <row r="47" spans="5:32" x14ac:dyDescent="0.25">
      <c r="E47">
        <v>14</v>
      </c>
      <c r="Z47" s="1">
        <f t="shared" si="7"/>
        <v>43</v>
      </c>
      <c r="AA47" s="1">
        <f t="shared" si="12"/>
        <v>5.3063440695760802E-41</v>
      </c>
      <c r="AB47" s="1">
        <f t="shared" si="12"/>
        <v>3.8208277057936016E-30</v>
      </c>
      <c r="AC47" s="1">
        <f t="shared" si="12"/>
        <v>5.0389676971500049E-21</v>
      </c>
      <c r="AD47" s="1">
        <f t="shared" si="12"/>
        <v>1.2171602665145048E-13</v>
      </c>
      <c r="AE47" s="1">
        <f t="shared" si="12"/>
        <v>5.384880021271638E-8</v>
      </c>
      <c r="AF47" s="1">
        <f t="shared" si="5"/>
        <v>3.3655804423033264E-9</v>
      </c>
    </row>
    <row r="48" spans="5:32" x14ac:dyDescent="0.25">
      <c r="E48">
        <v>15</v>
      </c>
      <c r="Z48" s="1">
        <f t="shared" si="7"/>
        <v>44</v>
      </c>
      <c r="AA48" s="1">
        <f t="shared" si="12"/>
        <v>5.4830327969448563E-44</v>
      </c>
      <c r="AB48" s="1">
        <f t="shared" si="12"/>
        <v>1.0731918678315302E-32</v>
      </c>
      <c r="AC48" s="1">
        <f t="shared" si="12"/>
        <v>3.84729931335321E-23</v>
      </c>
      <c r="AD48" s="1">
        <f t="shared" si="12"/>
        <v>2.5261355417684464E-15</v>
      </c>
      <c r="AE48" s="1">
        <f t="shared" si="12"/>
        <v>3.037941424911643E-9</v>
      </c>
      <c r="AF48" s="1">
        <f t="shared" si="5"/>
        <v>1.8987197059087755E-10</v>
      </c>
    </row>
    <row r="49" spans="5:32" x14ac:dyDescent="0.25">
      <c r="E49" s="2">
        <v>16</v>
      </c>
      <c r="F49">
        <f>K2</f>
        <v>6.25E-2</v>
      </c>
      <c r="Z49" s="1">
        <f t="shared" si="7"/>
        <v>45</v>
      </c>
      <c r="AA49" s="1">
        <f t="shared" si="12"/>
        <v>4.4123774872974124E-47</v>
      </c>
      <c r="AB49" s="1">
        <f t="shared" si="12"/>
        <v>2.3475976789875732E-35</v>
      </c>
      <c r="AC49" s="1">
        <f t="shared" si="12"/>
        <v>2.2876877952604028E-25</v>
      </c>
      <c r="AD49" s="1">
        <f t="shared" si="12"/>
        <v>4.0831178158347751E-17</v>
      </c>
      <c r="AE49" s="1">
        <f t="shared" si="12"/>
        <v>1.334778307381426E-10</v>
      </c>
      <c r="AF49" s="1">
        <f t="shared" si="5"/>
        <v>8.342374628928538E-12</v>
      </c>
    </row>
    <row r="50" spans="5:32" x14ac:dyDescent="0.25">
      <c r="E50">
        <v>17</v>
      </c>
      <c r="Z50" s="1">
        <f t="shared" si="7"/>
        <v>46</v>
      </c>
      <c r="AA50" s="1">
        <f t="shared" si="12"/>
        <v>2.7653547749222082E-50</v>
      </c>
      <c r="AB50" s="1">
        <f t="shared" si="12"/>
        <v>3.9994138785034063E-38</v>
      </c>
      <c r="AC50" s="1">
        <f t="shared" si="12"/>
        <v>1.0594096267546769E-27</v>
      </c>
      <c r="AD50" s="1">
        <f t="shared" si="12"/>
        <v>5.1398867858344583E-19</v>
      </c>
      <c r="AE50" s="1">
        <f t="shared" si="12"/>
        <v>4.5673602041822968E-12</v>
      </c>
      <c r="AF50" s="1">
        <f t="shared" si="5"/>
        <v>2.8546014125856361E-13</v>
      </c>
    </row>
    <row r="51" spans="5:32" x14ac:dyDescent="0.25">
      <c r="E51">
        <v>18</v>
      </c>
      <c r="Z51" s="1">
        <f t="shared" si="7"/>
        <v>47</v>
      </c>
      <c r="AA51" s="1">
        <f t="shared" si="12"/>
        <v>1.3497565122942938E-53</v>
      </c>
      <c r="AB51" s="1">
        <f t="shared" si="12"/>
        <v>5.3063440695760802E-41</v>
      </c>
      <c r="AC51" s="1">
        <f t="shared" si="12"/>
        <v>3.8208277057936016E-30</v>
      </c>
      <c r="AD51" s="1">
        <f t="shared" si="12"/>
        <v>5.0389676971500049E-21</v>
      </c>
      <c r="AE51" s="1">
        <f t="shared" si="12"/>
        <v>1.2171602665145048E-13</v>
      </c>
      <c r="AF51" s="1">
        <f t="shared" si="5"/>
        <v>7.6072529254575805E-15</v>
      </c>
    </row>
    <row r="52" spans="5:32" x14ac:dyDescent="0.25">
      <c r="E52">
        <v>19</v>
      </c>
    </row>
    <row r="53" spans="5:32" x14ac:dyDescent="0.25">
      <c r="E53">
        <v>20</v>
      </c>
      <c r="F53">
        <f>K6</f>
        <v>0.24999999999999994</v>
      </c>
    </row>
    <row r="54" spans="5:32" x14ac:dyDescent="0.25">
      <c r="E54">
        <v>21</v>
      </c>
    </row>
    <row r="55" spans="5:32" x14ac:dyDescent="0.25">
      <c r="E55">
        <v>22</v>
      </c>
    </row>
    <row r="56" spans="5:32" x14ac:dyDescent="0.25">
      <c r="E56">
        <v>23</v>
      </c>
    </row>
    <row r="57" spans="5:32" x14ac:dyDescent="0.25">
      <c r="E57" s="2">
        <v>24</v>
      </c>
      <c r="F57">
        <f>K10</f>
        <v>0.375</v>
      </c>
    </row>
    <row r="58" spans="5:32" x14ac:dyDescent="0.25">
      <c r="E58">
        <v>25</v>
      </c>
    </row>
    <row r="59" spans="5:32" x14ac:dyDescent="0.25">
      <c r="E59">
        <v>26</v>
      </c>
    </row>
    <row r="60" spans="5:32" x14ac:dyDescent="0.25">
      <c r="E60">
        <v>27</v>
      </c>
    </row>
    <row r="61" spans="5:32" x14ac:dyDescent="0.25">
      <c r="E61">
        <v>28</v>
      </c>
      <c r="F61">
        <f>K14</f>
        <v>0.25</v>
      </c>
    </row>
    <row r="62" spans="5:32" x14ac:dyDescent="0.25">
      <c r="E62">
        <v>29</v>
      </c>
    </row>
    <row r="63" spans="5:32" x14ac:dyDescent="0.25">
      <c r="E63">
        <v>30</v>
      </c>
    </row>
    <row r="64" spans="5:32" x14ac:dyDescent="0.25">
      <c r="E64">
        <v>31</v>
      </c>
    </row>
    <row r="65" spans="5:6" x14ac:dyDescent="0.25">
      <c r="E65" s="2">
        <v>32</v>
      </c>
      <c r="F65">
        <f>K18</f>
        <v>6.25E-2</v>
      </c>
    </row>
    <row r="66" spans="5:6" x14ac:dyDescent="0.25">
      <c r="E66">
        <v>33</v>
      </c>
    </row>
    <row r="67" spans="5:6" x14ac:dyDescent="0.25">
      <c r="E67">
        <v>34</v>
      </c>
    </row>
    <row r="68" spans="5:6" x14ac:dyDescent="0.25">
      <c r="E68">
        <v>35</v>
      </c>
    </row>
    <row r="69" spans="5:6" x14ac:dyDescent="0.25">
      <c r="E69">
        <v>12</v>
      </c>
    </row>
    <row r="70" spans="5:6" x14ac:dyDescent="0.25">
      <c r="E70">
        <v>13</v>
      </c>
    </row>
    <row r="71" spans="5:6" x14ac:dyDescent="0.25">
      <c r="E71">
        <v>14</v>
      </c>
    </row>
    <row r="72" spans="5:6" x14ac:dyDescent="0.25">
      <c r="E72">
        <v>15</v>
      </c>
    </row>
    <row r="73" spans="5:6" x14ac:dyDescent="0.25">
      <c r="E73" s="2">
        <v>16</v>
      </c>
      <c r="F73">
        <f>L2</f>
        <v>3.9062500000000009E-3</v>
      </c>
    </row>
    <row r="74" spans="5:6" x14ac:dyDescent="0.25">
      <c r="E74">
        <v>17</v>
      </c>
    </row>
    <row r="75" spans="5:6" x14ac:dyDescent="0.25">
      <c r="E75">
        <v>18</v>
      </c>
      <c r="F75">
        <f>L4</f>
        <v>3.1249999999999993E-2</v>
      </c>
    </row>
    <row r="76" spans="5:6" x14ac:dyDescent="0.25">
      <c r="E76">
        <v>19</v>
      </c>
    </row>
    <row r="77" spans="5:6" x14ac:dyDescent="0.25">
      <c r="E77" s="2">
        <v>20</v>
      </c>
      <c r="F77">
        <f>L6</f>
        <v>0.10937500000000006</v>
      </c>
    </row>
    <row r="78" spans="5:6" x14ac:dyDescent="0.25">
      <c r="E78">
        <v>21</v>
      </c>
    </row>
    <row r="79" spans="5:6" x14ac:dyDescent="0.25">
      <c r="E79">
        <v>22</v>
      </c>
      <c r="F79">
        <f>L8</f>
        <v>0.21875</v>
      </c>
    </row>
    <row r="80" spans="5:6" x14ac:dyDescent="0.25">
      <c r="E80">
        <v>23</v>
      </c>
    </row>
    <row r="81" spans="5:6" x14ac:dyDescent="0.25">
      <c r="E81" s="2">
        <v>24</v>
      </c>
      <c r="F81">
        <f>L10</f>
        <v>0.27343750000000006</v>
      </c>
    </row>
    <row r="82" spans="5:6" x14ac:dyDescent="0.25">
      <c r="E82">
        <v>25</v>
      </c>
    </row>
    <row r="83" spans="5:6" x14ac:dyDescent="0.25">
      <c r="E83">
        <v>26</v>
      </c>
      <c r="F83">
        <f>L12</f>
        <v>0.21875</v>
      </c>
    </row>
    <row r="84" spans="5:6" x14ac:dyDescent="0.25">
      <c r="E84">
        <v>27</v>
      </c>
    </row>
    <row r="85" spans="5:6" x14ac:dyDescent="0.25">
      <c r="E85" s="2">
        <v>28</v>
      </c>
      <c r="F85">
        <f>L14</f>
        <v>0.10937500000000006</v>
      </c>
    </row>
    <row r="86" spans="5:6" x14ac:dyDescent="0.25">
      <c r="E86">
        <v>29</v>
      </c>
    </row>
    <row r="87" spans="5:6" x14ac:dyDescent="0.25">
      <c r="E87">
        <v>30</v>
      </c>
      <c r="F87">
        <f>L16</f>
        <v>3.1250000000000007E-2</v>
      </c>
    </row>
    <row r="88" spans="5:6" x14ac:dyDescent="0.25">
      <c r="E88">
        <v>31</v>
      </c>
    </row>
    <row r="89" spans="5:6" x14ac:dyDescent="0.25">
      <c r="E89" s="2">
        <v>32</v>
      </c>
      <c r="F89">
        <f>L18</f>
        <v>3.9062500000000009E-3</v>
      </c>
    </row>
    <row r="90" spans="5:6" x14ac:dyDescent="0.25">
      <c r="E90">
        <v>33</v>
      </c>
    </row>
    <row r="91" spans="5:6" x14ac:dyDescent="0.25">
      <c r="E91">
        <v>34</v>
      </c>
    </row>
    <row r="92" spans="5:6" x14ac:dyDescent="0.25">
      <c r="E92">
        <v>35</v>
      </c>
    </row>
    <row r="93" spans="5:6" x14ac:dyDescent="0.25">
      <c r="E93">
        <v>12</v>
      </c>
    </row>
    <row r="94" spans="5:6" x14ac:dyDescent="0.25">
      <c r="E94">
        <v>13</v>
      </c>
    </row>
    <row r="95" spans="5:6" x14ac:dyDescent="0.25">
      <c r="E95">
        <v>14</v>
      </c>
    </row>
    <row r="96" spans="5:6" x14ac:dyDescent="0.25">
      <c r="E96">
        <v>15</v>
      </c>
    </row>
    <row r="97" spans="5:6" x14ac:dyDescent="0.25">
      <c r="E97" s="2">
        <v>16</v>
      </c>
      <c r="F97">
        <f t="shared" ref="F97:F113" si="13">M2</f>
        <v>1.5258789062500007E-5</v>
      </c>
    </row>
    <row r="98" spans="5:6" x14ac:dyDescent="0.25">
      <c r="E98">
        <v>17</v>
      </c>
      <c r="F98">
        <f t="shared" si="13"/>
        <v>2.4414062500000027E-4</v>
      </c>
    </row>
    <row r="99" spans="5:6" x14ac:dyDescent="0.25">
      <c r="E99" s="2">
        <v>18</v>
      </c>
      <c r="F99">
        <f t="shared" si="13"/>
        <v>1.8310546875000013E-3</v>
      </c>
    </row>
    <row r="100" spans="5:6" x14ac:dyDescent="0.25">
      <c r="E100">
        <v>19</v>
      </c>
      <c r="F100">
        <f t="shared" si="13"/>
        <v>8.5449218749999931E-3</v>
      </c>
    </row>
    <row r="101" spans="5:6" x14ac:dyDescent="0.25">
      <c r="E101" s="2">
        <v>20</v>
      </c>
      <c r="F101">
        <f t="shared" si="13"/>
        <v>2.777099609375001E-2</v>
      </c>
    </row>
    <row r="102" spans="5:6" x14ac:dyDescent="0.25">
      <c r="E102">
        <v>21</v>
      </c>
      <c r="F102">
        <f t="shared" si="13"/>
        <v>6.6650390625E-2</v>
      </c>
    </row>
    <row r="103" spans="5:6" x14ac:dyDescent="0.25">
      <c r="E103" s="2">
        <v>22</v>
      </c>
      <c r="F103">
        <f t="shared" si="13"/>
        <v>0.12219238281249999</v>
      </c>
    </row>
    <row r="104" spans="5:6" x14ac:dyDescent="0.25">
      <c r="E104">
        <v>23</v>
      </c>
      <c r="F104">
        <f t="shared" si="13"/>
        <v>0.17456054687499997</v>
      </c>
    </row>
    <row r="105" spans="5:6" x14ac:dyDescent="0.25">
      <c r="E105" s="2">
        <v>24</v>
      </c>
      <c r="F105">
        <f t="shared" si="13"/>
        <v>0.196380615234375</v>
      </c>
    </row>
    <row r="106" spans="5:6" x14ac:dyDescent="0.25">
      <c r="E106">
        <v>25</v>
      </c>
      <c r="F106">
        <f t="shared" si="13"/>
        <v>0.17456054687499997</v>
      </c>
    </row>
    <row r="107" spans="5:6" x14ac:dyDescent="0.25">
      <c r="E107" s="2">
        <v>26</v>
      </c>
      <c r="F107">
        <f t="shared" si="13"/>
        <v>0.12219238281249999</v>
      </c>
    </row>
    <row r="108" spans="5:6" x14ac:dyDescent="0.25">
      <c r="E108">
        <v>27</v>
      </c>
      <c r="F108">
        <f t="shared" si="13"/>
        <v>6.6650390625E-2</v>
      </c>
    </row>
    <row r="109" spans="5:6" x14ac:dyDescent="0.25">
      <c r="E109" s="2">
        <v>28</v>
      </c>
      <c r="F109">
        <f t="shared" si="13"/>
        <v>2.777099609375001E-2</v>
      </c>
    </row>
    <row r="110" spans="5:6" x14ac:dyDescent="0.25">
      <c r="E110">
        <v>29</v>
      </c>
      <c r="F110">
        <f t="shared" si="13"/>
        <v>8.5449218749999896E-3</v>
      </c>
    </row>
    <row r="111" spans="5:6" x14ac:dyDescent="0.25">
      <c r="E111" s="2">
        <v>30</v>
      </c>
      <c r="F111">
        <f t="shared" si="13"/>
        <v>1.8310546875000013E-3</v>
      </c>
    </row>
    <row r="112" spans="5:6" x14ac:dyDescent="0.25">
      <c r="E112">
        <v>31</v>
      </c>
      <c r="F112">
        <f t="shared" si="13"/>
        <v>2.4414062500000027E-4</v>
      </c>
    </row>
    <row r="113" spans="5:6" x14ac:dyDescent="0.25">
      <c r="E113" s="2">
        <v>32</v>
      </c>
      <c r="F113">
        <f t="shared" si="13"/>
        <v>1.5258789062500007E-5</v>
      </c>
    </row>
    <row r="114" spans="5:6" x14ac:dyDescent="0.25">
      <c r="E114">
        <v>33</v>
      </c>
    </row>
    <row r="115" spans="5:6" x14ac:dyDescent="0.25">
      <c r="E115">
        <v>34</v>
      </c>
    </row>
    <row r="116" spans="5:6" x14ac:dyDescent="0.25">
      <c r="E116">
        <v>35</v>
      </c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9"/>
  <sheetViews>
    <sheetView workbookViewId="0">
      <selection activeCell="F9" sqref="F9"/>
    </sheetView>
  </sheetViews>
  <sheetFormatPr defaultRowHeight="14.4" x14ac:dyDescent="0.25"/>
  <cols>
    <col min="1" max="1" width="13.88671875" bestFit="1" customWidth="1"/>
    <col min="8" max="8" width="11.6640625" bestFit="1" customWidth="1"/>
    <col min="9" max="10" width="7.5546875" bestFit="1" customWidth="1"/>
    <col min="11" max="11" width="9.5546875" bestFit="1" customWidth="1"/>
    <col min="12" max="12" width="9.5546875" customWidth="1"/>
    <col min="13" max="13" width="9.5546875" bestFit="1" customWidth="1"/>
    <col min="21" max="21" width="14.44140625" customWidth="1"/>
  </cols>
  <sheetData>
    <row r="1" spans="1:29" x14ac:dyDescent="0.25">
      <c r="A1" t="s">
        <v>20</v>
      </c>
      <c r="B1" t="s">
        <v>59</v>
      </c>
      <c r="C1" t="s">
        <v>60</v>
      </c>
      <c r="D1" t="s">
        <v>22</v>
      </c>
      <c r="E1" t="s">
        <v>23</v>
      </c>
      <c r="F1" t="s">
        <v>61</v>
      </c>
      <c r="H1" t="s">
        <v>20</v>
      </c>
      <c r="I1" t="s">
        <v>21</v>
      </c>
      <c r="J1" t="s">
        <v>60</v>
      </c>
      <c r="K1" t="s">
        <v>22</v>
      </c>
      <c r="L1" t="s">
        <v>23</v>
      </c>
      <c r="M1" t="s">
        <v>62</v>
      </c>
      <c r="N1" t="s">
        <v>63</v>
      </c>
      <c r="O1" t="s">
        <v>24</v>
      </c>
      <c r="P1" t="s">
        <v>25</v>
      </c>
      <c r="Q1" t="s">
        <v>64</v>
      </c>
      <c r="R1" t="s">
        <v>0</v>
      </c>
      <c r="S1" t="s">
        <v>65</v>
      </c>
      <c r="U1" t="s">
        <v>26</v>
      </c>
    </row>
    <row r="2" spans="1:29" ht="16.8" thickBot="1" x14ac:dyDescent="0.4">
      <c r="A2" t="s">
        <v>27</v>
      </c>
      <c r="B2">
        <v>20</v>
      </c>
      <c r="C2">
        <f>B2-1</f>
        <v>19</v>
      </c>
      <c r="D2" s="4">
        <v>116.3</v>
      </c>
      <c r="E2" s="4">
        <v>20.068000000000001</v>
      </c>
      <c r="F2" s="3">
        <f>E2/B2</f>
        <v>1.0034000000000001</v>
      </c>
      <c r="H2" t="s">
        <v>27</v>
      </c>
      <c r="I2">
        <v>20</v>
      </c>
      <c r="J2">
        <f>I2-1</f>
        <v>19</v>
      </c>
      <c r="K2" s="4">
        <v>116.3</v>
      </c>
      <c r="L2" s="4">
        <v>20.068000000000001</v>
      </c>
      <c r="P2" s="4">
        <f>K2</f>
        <v>116.3</v>
      </c>
      <c r="Q2">
        <v>1</v>
      </c>
      <c r="R2">
        <v>1</v>
      </c>
      <c r="S2">
        <v>0</v>
      </c>
    </row>
    <row r="3" spans="1:29" ht="16.2" x14ac:dyDescent="0.35">
      <c r="A3" t="s">
        <v>28</v>
      </c>
      <c r="B3">
        <v>20</v>
      </c>
      <c r="C3">
        <f t="shared" ref="C3:C7" si="0">B3-1</f>
        <v>19</v>
      </c>
      <c r="D3" s="4">
        <v>98.45</v>
      </c>
      <c r="E3" s="4">
        <v>29.049999999999997</v>
      </c>
      <c r="F3" s="3">
        <f t="shared" ref="F3:F7" si="1">E3/B3</f>
        <v>1.4524999999999999</v>
      </c>
      <c r="H3" t="s">
        <v>28</v>
      </c>
      <c r="I3">
        <v>20</v>
      </c>
      <c r="J3">
        <f t="shared" ref="J3:J7" si="2">I3-1</f>
        <v>19</v>
      </c>
      <c r="K3" s="4">
        <v>98.45</v>
      </c>
      <c r="L3" s="4">
        <v>29.049999999999997</v>
      </c>
      <c r="P3" s="4">
        <f t="shared" ref="P3:P7" si="3">K3</f>
        <v>98.45</v>
      </c>
      <c r="Q3">
        <v>1</v>
      </c>
      <c r="R3">
        <v>-1</v>
      </c>
      <c r="S3">
        <v>0</v>
      </c>
      <c r="U3" s="5" t="s">
        <v>29</v>
      </c>
      <c r="V3" s="5"/>
    </row>
    <row r="4" spans="1:29" ht="16.2" x14ac:dyDescent="0.35">
      <c r="A4" t="s">
        <v>30</v>
      </c>
      <c r="B4">
        <v>60</v>
      </c>
      <c r="C4">
        <f t="shared" si="0"/>
        <v>59</v>
      </c>
      <c r="D4" s="4">
        <v>117.68</v>
      </c>
      <c r="E4" s="4">
        <v>58.194000000000003</v>
      </c>
      <c r="F4" s="3">
        <f t="shared" si="1"/>
        <v>0.9699000000000001</v>
      </c>
      <c r="H4" t="s">
        <v>30</v>
      </c>
      <c r="I4">
        <v>60</v>
      </c>
      <c r="J4">
        <f t="shared" si="2"/>
        <v>59</v>
      </c>
      <c r="K4" s="4">
        <v>117.68</v>
      </c>
      <c r="L4" s="4">
        <v>58.194000000000003</v>
      </c>
      <c r="P4" s="4">
        <f t="shared" si="3"/>
        <v>117.68</v>
      </c>
      <c r="Q4">
        <v>1</v>
      </c>
      <c r="R4">
        <v>0</v>
      </c>
      <c r="S4">
        <v>1</v>
      </c>
      <c r="U4" s="6" t="s">
        <v>31</v>
      </c>
      <c r="V4" s="6">
        <v>0.99565677264887564</v>
      </c>
    </row>
    <row r="5" spans="1:29" ht="16.2" x14ac:dyDescent="0.35">
      <c r="A5" t="s">
        <v>32</v>
      </c>
      <c r="B5">
        <v>120</v>
      </c>
      <c r="C5">
        <f t="shared" si="0"/>
        <v>119</v>
      </c>
      <c r="D5" s="4">
        <v>116</v>
      </c>
      <c r="E5" s="4">
        <v>58.655999999999999</v>
      </c>
      <c r="F5" s="3">
        <f t="shared" si="1"/>
        <v>0.48880000000000001</v>
      </c>
      <c r="H5" t="s">
        <v>32</v>
      </c>
      <c r="I5">
        <v>120</v>
      </c>
      <c r="J5">
        <f t="shared" si="2"/>
        <v>119</v>
      </c>
      <c r="K5" s="4">
        <v>116</v>
      </c>
      <c r="L5" s="4">
        <v>58.655999999999999</v>
      </c>
      <c r="M5" s="4">
        <f>L5-L$8</f>
        <v>13.638597938144329</v>
      </c>
      <c r="N5" s="3">
        <f>M5/L5</f>
        <v>0.23251837728696689</v>
      </c>
      <c r="O5" s="3">
        <f>0.5*L9/L5</f>
        <v>0.21341380250954703</v>
      </c>
      <c r="P5" s="4">
        <f t="shared" si="3"/>
        <v>116</v>
      </c>
      <c r="Q5">
        <v>1</v>
      </c>
      <c r="R5">
        <v>0.5</v>
      </c>
      <c r="S5">
        <v>0.5</v>
      </c>
      <c r="U5" s="6" t="s">
        <v>33</v>
      </c>
      <c r="V5" s="6">
        <v>0.99133240892157493</v>
      </c>
    </row>
    <row r="6" spans="1:29" ht="16.2" x14ac:dyDescent="0.35">
      <c r="A6" t="s">
        <v>34</v>
      </c>
      <c r="B6">
        <v>120</v>
      </c>
      <c r="C6">
        <f t="shared" si="0"/>
        <v>119</v>
      </c>
      <c r="D6" s="4">
        <v>109.16</v>
      </c>
      <c r="E6" s="4">
        <v>73.62</v>
      </c>
      <c r="F6" s="3">
        <f t="shared" si="1"/>
        <v>0.61350000000000005</v>
      </c>
      <c r="H6" t="s">
        <v>34</v>
      </c>
      <c r="I6">
        <v>120</v>
      </c>
      <c r="J6">
        <f t="shared" si="2"/>
        <v>119</v>
      </c>
      <c r="K6" s="4">
        <v>109.16</v>
      </c>
      <c r="L6" s="4">
        <v>73.62</v>
      </c>
      <c r="M6" s="4">
        <f t="shared" ref="M6:M7" si="4">L6-L$8</f>
        <v>28.602597938144335</v>
      </c>
      <c r="N6" s="3">
        <f t="shared" ref="N6:N7" si="5">M6/L6</f>
        <v>0.38851667940973017</v>
      </c>
      <c r="O6" s="3">
        <f>0.5*L9/L6</f>
        <v>0.17003531649008408</v>
      </c>
      <c r="P6" s="4">
        <f t="shared" si="3"/>
        <v>109.16</v>
      </c>
      <c r="Q6">
        <v>1</v>
      </c>
      <c r="R6">
        <v>-0.5</v>
      </c>
      <c r="S6">
        <v>0.5</v>
      </c>
      <c r="U6" s="6" t="s">
        <v>35</v>
      </c>
      <c r="V6" s="6">
        <v>0.98555401486929151</v>
      </c>
    </row>
    <row r="7" spans="1:29" ht="14.4" customHeight="1" x14ac:dyDescent="0.35">
      <c r="A7" t="s">
        <v>36</v>
      </c>
      <c r="B7">
        <v>160</v>
      </c>
      <c r="C7">
        <f t="shared" si="0"/>
        <v>159</v>
      </c>
      <c r="D7" s="4">
        <v>111.78</v>
      </c>
      <c r="E7" s="4">
        <v>78.655999999999992</v>
      </c>
      <c r="F7" s="3">
        <f t="shared" si="1"/>
        <v>0.49159999999999993</v>
      </c>
      <c r="H7" t="s">
        <v>36</v>
      </c>
      <c r="I7">
        <v>160</v>
      </c>
      <c r="J7">
        <f t="shared" si="2"/>
        <v>159</v>
      </c>
      <c r="K7" s="4">
        <v>111.78</v>
      </c>
      <c r="L7" s="4">
        <v>78.655999999999992</v>
      </c>
      <c r="M7" s="4">
        <f>L7-L$8</f>
        <v>33.638597938144322</v>
      </c>
      <c r="N7" s="3">
        <f t="shared" si="5"/>
        <v>0.42766728460822218</v>
      </c>
      <c r="O7" s="3">
        <f>L9/L7</f>
        <v>0.31829739625711939</v>
      </c>
      <c r="P7" s="4">
        <f t="shared" si="3"/>
        <v>111.78</v>
      </c>
      <c r="Q7">
        <v>1</v>
      </c>
      <c r="R7">
        <v>0</v>
      </c>
      <c r="S7">
        <v>0.5</v>
      </c>
      <c r="U7" s="6" t="s">
        <v>37</v>
      </c>
      <c r="V7" s="6">
        <v>0.86222784850936796</v>
      </c>
    </row>
    <row r="8" spans="1:29" ht="15" thickBot="1" x14ac:dyDescent="0.3">
      <c r="A8" s="2" t="s">
        <v>66</v>
      </c>
      <c r="H8" t="s">
        <v>67</v>
      </c>
      <c r="L8" s="4">
        <f>SUMPRODUCT(J2:J4,L2:L4)/SUM(J2:J4)</f>
        <v>45.01740206185567</v>
      </c>
      <c r="U8" s="7" t="s">
        <v>38</v>
      </c>
      <c r="V8" s="7">
        <v>6</v>
      </c>
    </row>
    <row r="9" spans="1:29" x14ac:dyDescent="0.25">
      <c r="A9" t="s">
        <v>68</v>
      </c>
      <c r="B9" t="s">
        <v>69</v>
      </c>
      <c r="C9" t="s">
        <v>70</v>
      </c>
      <c r="D9" t="s">
        <v>71</v>
      </c>
      <c r="F9" s="2" t="s">
        <v>112</v>
      </c>
      <c r="H9" t="s">
        <v>72</v>
      </c>
      <c r="L9" s="4">
        <f>M7-L10</f>
        <v>25.03599999999998</v>
      </c>
    </row>
    <row r="10" spans="1:29" ht="15" thickBot="1" x14ac:dyDescent="0.3">
      <c r="A10">
        <f>(D2+D3)/2</f>
        <v>107.375</v>
      </c>
      <c r="B10">
        <f>(D2-D3)/2</f>
        <v>8.9249999999999972</v>
      </c>
      <c r="C10" s="4">
        <f>D4-A10</f>
        <v>10.305000000000007</v>
      </c>
      <c r="D10">
        <f>C10/B10</f>
        <v>1.154621848739497</v>
      </c>
      <c r="H10" t="s">
        <v>73</v>
      </c>
      <c r="L10" s="4">
        <f>M5+M6-M7</f>
        <v>8.602597938144342</v>
      </c>
      <c r="U10" t="s">
        <v>39</v>
      </c>
    </row>
    <row r="11" spans="1:29" x14ac:dyDescent="0.25">
      <c r="H11" t="s">
        <v>74</v>
      </c>
      <c r="L11">
        <f>SQRT(2*L10/L9)</f>
        <v>0.82898627297731398</v>
      </c>
      <c r="U11" s="8"/>
      <c r="V11" s="8" t="s">
        <v>40</v>
      </c>
      <c r="W11" s="8" t="s">
        <v>41</v>
      </c>
      <c r="X11" s="8" t="s">
        <v>42</v>
      </c>
      <c r="Y11" s="8" t="s">
        <v>43</v>
      </c>
      <c r="Z11" s="8" t="s">
        <v>44</v>
      </c>
    </row>
    <row r="12" spans="1:29" x14ac:dyDescent="0.25">
      <c r="A12" s="2" t="s">
        <v>75</v>
      </c>
      <c r="B12" t="s">
        <v>76</v>
      </c>
      <c r="C12" t="s">
        <v>77</v>
      </c>
      <c r="D12" t="s">
        <v>78</v>
      </c>
      <c r="H12" t="s">
        <v>79</v>
      </c>
      <c r="L12" s="4">
        <f>(K2-K3)^2/(8*M7)</f>
        <v>1.183991454496307</v>
      </c>
      <c r="M12" s="4">
        <f>(K2-K3)^2/(8*L9)</f>
        <v>1.5908217167279119</v>
      </c>
      <c r="U12" s="6" t="s">
        <v>45</v>
      </c>
      <c r="V12" s="6">
        <v>2</v>
      </c>
      <c r="W12" s="6">
        <v>255.08577274509804</v>
      </c>
      <c r="X12" s="6">
        <v>127.54288637254902</v>
      </c>
      <c r="Y12" s="6">
        <v>171.55846416009692</v>
      </c>
      <c r="Z12" s="6">
        <v>8.0695184860350244E-4</v>
      </c>
    </row>
    <row r="13" spans="1:29" ht="16.2" x14ac:dyDescent="0.35">
      <c r="A13" t="s">
        <v>27</v>
      </c>
      <c r="B13">
        <v>-1</v>
      </c>
      <c r="C13">
        <v>0</v>
      </c>
      <c r="D13">
        <v>-1</v>
      </c>
      <c r="U13" s="6" t="s">
        <v>46</v>
      </c>
      <c r="V13" s="6">
        <v>3</v>
      </c>
      <c r="W13" s="6">
        <v>2.2303105882352807</v>
      </c>
      <c r="X13" s="6">
        <v>0.74343686274509357</v>
      </c>
      <c r="Y13" s="6"/>
      <c r="Z13" s="6"/>
    </row>
    <row r="14" spans="1:29" ht="16.8" thickBot="1" x14ac:dyDescent="0.4">
      <c r="A14" t="s">
        <v>28</v>
      </c>
      <c r="B14">
        <v>0</v>
      </c>
      <c r="C14">
        <v>-1</v>
      </c>
      <c r="D14">
        <v>-1</v>
      </c>
      <c r="U14" s="7" t="s">
        <v>47</v>
      </c>
      <c r="V14" s="7">
        <v>5</v>
      </c>
      <c r="W14" s="7">
        <v>257.31608333333332</v>
      </c>
      <c r="X14" s="7"/>
      <c r="Y14" s="7"/>
      <c r="Z14" s="7"/>
    </row>
    <row r="15" spans="1:29" ht="16.8" thickBot="1" x14ac:dyDescent="0.4">
      <c r="A15" t="s">
        <v>30</v>
      </c>
      <c r="B15">
        <v>-1</v>
      </c>
      <c r="C15">
        <v>-1</v>
      </c>
      <c r="D15">
        <v>-2</v>
      </c>
    </row>
    <row r="16" spans="1:29" ht="16.2" x14ac:dyDescent="0.35">
      <c r="A16" t="s">
        <v>32</v>
      </c>
      <c r="B16">
        <v>2</v>
      </c>
      <c r="C16">
        <v>0</v>
      </c>
      <c r="D16">
        <v>0</v>
      </c>
      <c r="U16" s="8"/>
      <c r="V16" s="8" t="s">
        <v>48</v>
      </c>
      <c r="W16" s="8" t="s">
        <v>37</v>
      </c>
      <c r="X16" s="8" t="s">
        <v>49</v>
      </c>
      <c r="Y16" s="8" t="s">
        <v>50</v>
      </c>
      <c r="Z16" s="8" t="s">
        <v>51</v>
      </c>
      <c r="AA16" s="8" t="s">
        <v>52</v>
      </c>
      <c r="AB16" s="8" t="s">
        <v>53</v>
      </c>
      <c r="AC16" s="8" t="s">
        <v>54</v>
      </c>
    </row>
    <row r="17" spans="1:29" ht="16.2" x14ac:dyDescent="0.35">
      <c r="A17" t="s">
        <v>34</v>
      </c>
      <c r="B17">
        <v>0</v>
      </c>
      <c r="C17">
        <v>2</v>
      </c>
      <c r="D17">
        <v>0</v>
      </c>
      <c r="U17" s="6" t="s">
        <v>55</v>
      </c>
      <c r="V17" s="9">
        <v>107.29941176470588</v>
      </c>
      <c r="W17" s="6">
        <v>0.55328208097708409</v>
      </c>
      <c r="X17" s="6">
        <v>193.93256252799196</v>
      </c>
      <c r="Y17" s="6">
        <v>3.0232702390863742E-7</v>
      </c>
      <c r="Z17" s="6">
        <v>105.53862125032067</v>
      </c>
      <c r="AA17" s="6">
        <v>109.06020227909109</v>
      </c>
      <c r="AB17" s="6">
        <v>105.53862125032067</v>
      </c>
      <c r="AC17" s="6">
        <v>109.06020227909109</v>
      </c>
    </row>
    <row r="18" spans="1:29" ht="16.2" x14ac:dyDescent="0.35">
      <c r="A18" t="s">
        <v>36</v>
      </c>
      <c r="B18">
        <v>0</v>
      </c>
      <c r="C18">
        <v>0</v>
      </c>
      <c r="D18">
        <v>4</v>
      </c>
      <c r="U18" s="6" t="s">
        <v>56</v>
      </c>
      <c r="V18" s="9">
        <v>8.5079999999999991</v>
      </c>
      <c r="W18" s="6">
        <v>0.54532077266324397</v>
      </c>
      <c r="X18" s="6">
        <v>15.60182634974371</v>
      </c>
      <c r="Y18" s="6">
        <v>5.7221399967042079E-4</v>
      </c>
      <c r="Z18" s="6">
        <v>6.7725459218434008</v>
      </c>
      <c r="AA18" s="6">
        <v>10.243454078156597</v>
      </c>
      <c r="AB18" s="6">
        <v>6.7725459218434008</v>
      </c>
      <c r="AC18" s="6">
        <v>10.243454078156597</v>
      </c>
    </row>
    <row r="19" spans="1:29" ht="15" thickBot="1" x14ac:dyDescent="0.3">
      <c r="A19" t="s">
        <v>80</v>
      </c>
      <c r="B19">
        <f>SUMPRODUCT(B13:B18,$D$2:$D$7)</f>
        <v>-1.9800000000000182</v>
      </c>
      <c r="C19">
        <f>SUMPRODUCT(C13:C18,$D$2:$D$7)</f>
        <v>2.1899999999999977</v>
      </c>
      <c r="D19">
        <f>SUMPRODUCT(D13:D18,$D$2:$D$7)</f>
        <v>-2.9900000000000091</v>
      </c>
      <c r="U19" s="7" t="s">
        <v>57</v>
      </c>
      <c r="V19" s="10">
        <v>10.229411764705889</v>
      </c>
      <c r="W19" s="7">
        <v>1.0244793428251378</v>
      </c>
      <c r="X19" s="7">
        <v>9.9849858724305047</v>
      </c>
      <c r="Y19" s="7">
        <v>2.1377894778892344E-3</v>
      </c>
      <c r="Z19" s="7">
        <v>6.969061265292547</v>
      </c>
      <c r="AA19" s="7">
        <v>13.48976226411923</v>
      </c>
      <c r="AB19" s="7">
        <v>6.969061265292547</v>
      </c>
      <c r="AC19" s="7">
        <v>13.48976226411923</v>
      </c>
    </row>
    <row r="20" spans="1:29" x14ac:dyDescent="0.25">
      <c r="A20" t="s">
        <v>81</v>
      </c>
      <c r="B20">
        <f>SUMPRODUCT((B13:B18)^2,$F$2:$F$7)</f>
        <v>3.9285000000000001</v>
      </c>
      <c r="C20">
        <f>SUMPRODUCT((C13:C18)^2,$F$2:$F$7)</f>
        <v>4.8764000000000003</v>
      </c>
      <c r="D20">
        <f>SUMPRODUCT((D13:D18)^2,$F$2:$F$7)</f>
        <v>14.201099999999999</v>
      </c>
      <c r="O20" t="s">
        <v>82</v>
      </c>
    </row>
    <row r="21" spans="1:29" x14ac:dyDescent="0.25">
      <c r="A21" t="s">
        <v>83</v>
      </c>
      <c r="B21">
        <f>B19/SQRT(B20)</f>
        <v>-0.99896854021030868</v>
      </c>
      <c r="C21">
        <f t="shared" ref="C21:D21" si="6">C19/SQRT(C20)</f>
        <v>0.99173228954780646</v>
      </c>
      <c r="D21">
        <f t="shared" si="6"/>
        <v>-0.79343288322903804</v>
      </c>
      <c r="N21" t="s">
        <v>84</v>
      </c>
      <c r="O21" t="s">
        <v>85</v>
      </c>
      <c r="P21" t="s">
        <v>86</v>
      </c>
      <c r="Q21" t="s">
        <v>87</v>
      </c>
      <c r="R21" t="s">
        <v>88</v>
      </c>
      <c r="S21" t="s">
        <v>65</v>
      </c>
    </row>
    <row r="22" spans="1:29" ht="16.2" x14ac:dyDescent="0.35">
      <c r="A22" t="s">
        <v>89</v>
      </c>
      <c r="B22">
        <f>SUMPRODUCT(ABS(B13:B18),$C$2:$C$7)</f>
        <v>316</v>
      </c>
      <c r="C22">
        <f t="shared" ref="C22:D22" si="7">SUMPRODUCT(ABS(C13:C18),$C$2:$C$7)</f>
        <v>316</v>
      </c>
      <c r="D22">
        <f t="shared" si="7"/>
        <v>792</v>
      </c>
      <c r="M22" t="s">
        <v>27</v>
      </c>
      <c r="N22">
        <f>L2/J2</f>
        <v>1.0562105263157895</v>
      </c>
      <c r="O22">
        <f>1/SQRT(N22)</f>
        <v>0.97302669274163367</v>
      </c>
      <c r="P22">
        <f>P2*$O22</f>
        <v>113.16300436585199</v>
      </c>
      <c r="Q22">
        <f t="shared" ref="Q22:R22" si="8">Q2*$O22</f>
        <v>0.97302669274163367</v>
      </c>
      <c r="R22">
        <f>R2*$O22</f>
        <v>0.97302669274163367</v>
      </c>
      <c r="S22">
        <f>S2*$O22</f>
        <v>0</v>
      </c>
      <c r="U22" t="s">
        <v>26</v>
      </c>
    </row>
    <row r="23" spans="1:29" ht="16.8" thickBot="1" x14ac:dyDescent="0.4">
      <c r="A23" t="s">
        <v>90</v>
      </c>
      <c r="B23">
        <f>_xlfn.T.DIST.2T(ABS(B21),B22)</f>
        <v>0.31857426627981866</v>
      </c>
      <c r="C23">
        <f t="shared" ref="C23:D23" si="9">_xlfn.T.DIST.2T(ABS(C21),C22)</f>
        <v>0.32208691104646725</v>
      </c>
      <c r="D23">
        <f t="shared" si="9"/>
        <v>0.42776329463850826</v>
      </c>
      <c r="M23" t="s">
        <v>28</v>
      </c>
      <c r="N23">
        <f t="shared" ref="N23:N27" si="10">L3/J3</f>
        <v>1.5289473684210524</v>
      </c>
      <c r="O23">
        <f t="shared" ref="O23:O27" si="11">1/SQRT(N23)</f>
        <v>0.80873033232981473</v>
      </c>
      <c r="P23">
        <f t="shared" ref="P23:S27" si="12">P3*$O23</f>
        <v>79.619501217870265</v>
      </c>
      <c r="Q23">
        <f t="shared" si="12"/>
        <v>0.80873033232981473</v>
      </c>
      <c r="R23">
        <f t="shared" si="12"/>
        <v>-0.80873033232981473</v>
      </c>
      <c r="S23">
        <f t="shared" si="12"/>
        <v>0</v>
      </c>
    </row>
    <row r="24" spans="1:29" ht="16.2" x14ac:dyDescent="0.35">
      <c r="A24" s="2" t="s">
        <v>91</v>
      </c>
      <c r="M24" t="s">
        <v>30</v>
      </c>
      <c r="N24">
        <f t="shared" si="10"/>
        <v>0.98633898305084755</v>
      </c>
      <c r="O24">
        <f t="shared" si="11"/>
        <v>1.0069012985934209</v>
      </c>
      <c r="P24">
        <f t="shared" si="12"/>
        <v>118.49214481847378</v>
      </c>
      <c r="Q24">
        <f t="shared" si="12"/>
        <v>1.0069012985934209</v>
      </c>
      <c r="R24">
        <f t="shared" si="12"/>
        <v>0</v>
      </c>
      <c r="S24">
        <f>S4*$O24</f>
        <v>1.0069012985934209</v>
      </c>
      <c r="U24" s="5" t="s">
        <v>29</v>
      </c>
      <c r="V24" s="5"/>
    </row>
    <row r="25" spans="1:29" ht="16.2" x14ac:dyDescent="0.35">
      <c r="A25" t="s">
        <v>20</v>
      </c>
      <c r="B25" t="s">
        <v>59</v>
      </c>
      <c r="C25" t="s">
        <v>92</v>
      </c>
      <c r="D25" t="s">
        <v>22</v>
      </c>
      <c r="E25" t="s">
        <v>93</v>
      </c>
      <c r="F25" t="s">
        <v>94</v>
      </c>
      <c r="G25" t="s">
        <v>95</v>
      </c>
      <c r="H25" t="s">
        <v>96</v>
      </c>
      <c r="I25" t="s">
        <v>64</v>
      </c>
      <c r="J25" t="s">
        <v>97</v>
      </c>
      <c r="K25" t="s">
        <v>98</v>
      </c>
      <c r="M25" t="s">
        <v>32</v>
      </c>
      <c r="N25">
        <f t="shared" si="10"/>
        <v>0.49290756302521005</v>
      </c>
      <c r="O25">
        <f t="shared" si="11"/>
        <v>1.4243517682191515</v>
      </c>
      <c r="P25">
        <f t="shared" si="12"/>
        <v>165.22480511342158</v>
      </c>
      <c r="Q25">
        <f t="shared" si="12"/>
        <v>1.4243517682191515</v>
      </c>
      <c r="R25">
        <f t="shared" si="12"/>
        <v>0.71217588410957577</v>
      </c>
      <c r="S25">
        <f t="shared" si="12"/>
        <v>0.71217588410957577</v>
      </c>
      <c r="U25" s="6" t="s">
        <v>31</v>
      </c>
      <c r="V25" s="6">
        <v>0.99998396753707075</v>
      </c>
    </row>
    <row r="26" spans="1:29" ht="16.2" x14ac:dyDescent="0.35">
      <c r="A26" t="s">
        <v>27</v>
      </c>
      <c r="B26">
        <v>100</v>
      </c>
      <c r="C26">
        <f>B26-1</f>
        <v>99</v>
      </c>
      <c r="D26" s="4">
        <v>69.44</v>
      </c>
      <c r="E26" s="4">
        <v>59.73</v>
      </c>
      <c r="F26" s="3">
        <f>E26/B26</f>
        <v>0.59729999999999994</v>
      </c>
      <c r="G26">
        <f>1/SQRT(F26)</f>
        <v>1.2939090266429838</v>
      </c>
      <c r="H26">
        <f>D26*$G26</f>
        <v>89.84904281008879</v>
      </c>
      <c r="I26">
        <f>Q2*$G26</f>
        <v>1.2939090266429838</v>
      </c>
      <c r="J26">
        <f t="shared" ref="J26:K31" si="13">R2*$G26</f>
        <v>1.2939090266429838</v>
      </c>
      <c r="K26">
        <f t="shared" si="13"/>
        <v>0</v>
      </c>
      <c r="M26" t="s">
        <v>34</v>
      </c>
      <c r="N26">
        <f t="shared" si="10"/>
        <v>0.61865546218487399</v>
      </c>
      <c r="O26">
        <f t="shared" si="11"/>
        <v>1.2713805821325663</v>
      </c>
      <c r="P26">
        <f t="shared" si="12"/>
        <v>138.78390434559094</v>
      </c>
      <c r="Q26">
        <f t="shared" si="12"/>
        <v>1.2713805821325663</v>
      </c>
      <c r="R26">
        <f t="shared" si="12"/>
        <v>-0.63569029106628316</v>
      </c>
      <c r="S26">
        <f t="shared" si="12"/>
        <v>0.63569029106628316</v>
      </c>
      <c r="U26" s="6" t="s">
        <v>33</v>
      </c>
      <c r="V26" s="6">
        <v>0.99996793533118133</v>
      </c>
    </row>
    <row r="27" spans="1:29" ht="16.2" x14ac:dyDescent="0.35">
      <c r="A27" t="s">
        <v>28</v>
      </c>
      <c r="B27">
        <v>100</v>
      </c>
      <c r="C27">
        <f t="shared" ref="C27:C31" si="14">B27-1</f>
        <v>99</v>
      </c>
      <c r="D27" s="4">
        <v>59.04</v>
      </c>
      <c r="E27" s="4">
        <v>65.709999999999994</v>
      </c>
      <c r="F27" s="3">
        <f t="shared" ref="F27:F28" si="15">E27/B27</f>
        <v>0.65709999999999991</v>
      </c>
      <c r="G27">
        <f t="shared" ref="G27:G31" si="16">1/SQRT(F27)</f>
        <v>1.2336281371482913</v>
      </c>
      <c r="H27">
        <f t="shared" ref="H27:H31" si="17">D27*$G27</f>
        <v>72.833405217235125</v>
      </c>
      <c r="I27">
        <f t="shared" ref="I27:I31" si="18">Q3*$G27</f>
        <v>1.2336281371482913</v>
      </c>
      <c r="J27">
        <f t="shared" si="13"/>
        <v>-1.2336281371482913</v>
      </c>
      <c r="K27">
        <f t="shared" si="13"/>
        <v>0</v>
      </c>
      <c r="M27" t="s">
        <v>36</v>
      </c>
      <c r="N27">
        <f>L7/J7</f>
        <v>0.494691823899371</v>
      </c>
      <c r="O27">
        <f t="shared" si="11"/>
        <v>1.4217807626430909</v>
      </c>
      <c r="P27">
        <f t="shared" si="12"/>
        <v>158.9266536482447</v>
      </c>
      <c r="Q27">
        <f t="shared" si="12"/>
        <v>1.4217807626430909</v>
      </c>
      <c r="R27">
        <f t="shared" si="12"/>
        <v>0</v>
      </c>
      <c r="S27">
        <f t="shared" si="12"/>
        <v>0.71089038132154547</v>
      </c>
      <c r="U27" s="6" t="s">
        <v>35</v>
      </c>
      <c r="V27" s="6">
        <v>0.666613225551969</v>
      </c>
    </row>
    <row r="28" spans="1:29" ht="16.2" x14ac:dyDescent="0.35">
      <c r="A28" t="s">
        <v>30</v>
      </c>
      <c r="B28">
        <v>100</v>
      </c>
      <c r="C28">
        <f t="shared" si="14"/>
        <v>99</v>
      </c>
      <c r="D28" s="4">
        <v>83.44</v>
      </c>
      <c r="E28" s="4">
        <v>51.81</v>
      </c>
      <c r="F28" s="3">
        <f t="shared" si="15"/>
        <v>0.5181</v>
      </c>
      <c r="G28">
        <f t="shared" si="16"/>
        <v>1.389290940971095</v>
      </c>
      <c r="H28">
        <f t="shared" si="17"/>
        <v>115.92243611462816</v>
      </c>
      <c r="I28">
        <f t="shared" si="18"/>
        <v>1.389290940971095</v>
      </c>
      <c r="J28">
        <f t="shared" si="13"/>
        <v>0</v>
      </c>
      <c r="K28">
        <f t="shared" si="13"/>
        <v>1.389290940971095</v>
      </c>
      <c r="U28" s="6" t="s">
        <v>37</v>
      </c>
      <c r="V28" s="6">
        <v>1.0593865391341863</v>
      </c>
    </row>
    <row r="29" spans="1:29" ht="16.8" thickBot="1" x14ac:dyDescent="0.4">
      <c r="A29" t="s">
        <v>32</v>
      </c>
      <c r="B29">
        <v>100</v>
      </c>
      <c r="C29">
        <f t="shared" si="14"/>
        <v>99</v>
      </c>
      <c r="D29" s="4">
        <v>76.03</v>
      </c>
      <c r="E29" s="4">
        <v>81.05</v>
      </c>
      <c r="F29" s="3">
        <f>E29/B29</f>
        <v>0.8105</v>
      </c>
      <c r="G29">
        <f t="shared" si="16"/>
        <v>1.1107683342678127</v>
      </c>
      <c r="H29">
        <f t="shared" si="17"/>
        <v>84.45171645438181</v>
      </c>
      <c r="I29">
        <f t="shared" si="18"/>
        <v>1.1107683342678127</v>
      </c>
      <c r="J29">
        <f t="shared" si="13"/>
        <v>0.55538416713390637</v>
      </c>
      <c r="K29">
        <f t="shared" si="13"/>
        <v>0.55538416713390637</v>
      </c>
      <c r="U29" s="7" t="s">
        <v>38</v>
      </c>
      <c r="V29" s="7">
        <v>6</v>
      </c>
    </row>
    <row r="30" spans="1:29" ht="16.2" x14ac:dyDescent="0.35">
      <c r="A30" t="s">
        <v>34</v>
      </c>
      <c r="B30">
        <v>100</v>
      </c>
      <c r="C30">
        <f t="shared" si="14"/>
        <v>99</v>
      </c>
      <c r="D30" s="4">
        <v>71.28</v>
      </c>
      <c r="E30" s="4">
        <v>90.83</v>
      </c>
      <c r="F30" s="3">
        <f>E30/B30</f>
        <v>0.9083</v>
      </c>
      <c r="G30">
        <f t="shared" si="16"/>
        <v>1.0492653779263776</v>
      </c>
      <c r="H30">
        <f t="shared" si="17"/>
        <v>74.791636138592196</v>
      </c>
      <c r="I30">
        <f t="shared" si="18"/>
        <v>1.0492653779263776</v>
      </c>
      <c r="J30">
        <f t="shared" si="13"/>
        <v>-0.52463268896318882</v>
      </c>
      <c r="K30">
        <f t="shared" si="13"/>
        <v>0.52463268896318882</v>
      </c>
    </row>
    <row r="31" spans="1:29" ht="16.8" thickBot="1" x14ac:dyDescent="0.4">
      <c r="A31" t="s">
        <v>36</v>
      </c>
      <c r="B31">
        <v>100</v>
      </c>
      <c r="C31">
        <f t="shared" si="14"/>
        <v>99</v>
      </c>
      <c r="D31" s="4">
        <v>74.36</v>
      </c>
      <c r="E31" s="4">
        <v>100.75</v>
      </c>
      <c r="F31" s="3">
        <f>E31/B31</f>
        <v>1.0075000000000001</v>
      </c>
      <c r="G31">
        <f t="shared" si="16"/>
        <v>0.99627096277343563</v>
      </c>
      <c r="H31">
        <f t="shared" si="17"/>
        <v>74.082708791832673</v>
      </c>
      <c r="I31">
        <f t="shared" si="18"/>
        <v>0.99627096277343563</v>
      </c>
      <c r="J31">
        <f t="shared" si="13"/>
        <v>0</v>
      </c>
      <c r="K31">
        <f t="shared" si="13"/>
        <v>0.49813548138671782</v>
      </c>
      <c r="U31" t="s">
        <v>39</v>
      </c>
    </row>
    <row r="32" spans="1:29" x14ac:dyDescent="0.25">
      <c r="A32" s="2" t="s">
        <v>99</v>
      </c>
      <c r="U32" s="8"/>
      <c r="V32" s="8" t="s">
        <v>40</v>
      </c>
      <c r="W32" s="8" t="s">
        <v>41</v>
      </c>
      <c r="X32" s="8" t="s">
        <v>42</v>
      </c>
      <c r="Y32" s="8" t="s">
        <v>43</v>
      </c>
      <c r="Z32" s="8" t="s">
        <v>44</v>
      </c>
    </row>
    <row r="33" spans="1:29" x14ac:dyDescent="0.25">
      <c r="A33" t="s">
        <v>87</v>
      </c>
      <c r="B33" t="s">
        <v>97</v>
      </c>
      <c r="C33" t="s">
        <v>70</v>
      </c>
      <c r="D33" t="s">
        <v>100</v>
      </c>
      <c r="U33" s="6" t="s">
        <v>45</v>
      </c>
      <c r="V33" s="6">
        <v>3</v>
      </c>
      <c r="W33" s="6">
        <v>105000.04158545595</v>
      </c>
      <c r="X33" s="6">
        <v>35000.013861818654</v>
      </c>
      <c r="Y33" s="6">
        <v>31185.974225648202</v>
      </c>
      <c r="Z33" s="6">
        <v>3.206484017516592E-5</v>
      </c>
    </row>
    <row r="34" spans="1:29" x14ac:dyDescent="0.25">
      <c r="A34">
        <f>(D26+D27)/2</f>
        <v>64.239999999999995</v>
      </c>
      <c r="B34">
        <f>(D26-D27)/2</f>
        <v>5.1999999999999993</v>
      </c>
      <c r="C34" s="4">
        <f>D28-A34</f>
        <v>19.200000000000003</v>
      </c>
      <c r="D34">
        <f>C34/B34</f>
        <v>3.6923076923076934</v>
      </c>
      <c r="U34" s="6" t="s">
        <v>46</v>
      </c>
      <c r="V34" s="6">
        <v>3</v>
      </c>
      <c r="W34" s="6">
        <v>3.366899517896127</v>
      </c>
      <c r="X34" s="6">
        <v>1.1222998392987089</v>
      </c>
      <c r="Y34" s="6"/>
      <c r="Z34" s="6"/>
    </row>
    <row r="35" spans="1:29" ht="15" thickBot="1" x14ac:dyDescent="0.3">
      <c r="U35" s="7" t="s">
        <v>47</v>
      </c>
      <c r="V35" s="7">
        <v>6</v>
      </c>
      <c r="W35" s="7">
        <v>105003.40848497386</v>
      </c>
      <c r="X35" s="7"/>
      <c r="Y35" s="7"/>
      <c r="Z35" s="7"/>
    </row>
    <row r="36" spans="1:29" ht="15" thickBot="1" x14ac:dyDescent="0.3">
      <c r="A36" s="2" t="s">
        <v>101</v>
      </c>
      <c r="B36" t="s">
        <v>102</v>
      </c>
      <c r="C36" t="s">
        <v>103</v>
      </c>
      <c r="D36" t="s">
        <v>104</v>
      </c>
    </row>
    <row r="37" spans="1:29" ht="16.2" x14ac:dyDescent="0.35">
      <c r="A37" t="s">
        <v>27</v>
      </c>
      <c r="B37">
        <v>-1</v>
      </c>
      <c r="C37">
        <v>0</v>
      </c>
      <c r="D37">
        <v>-1</v>
      </c>
      <c r="U37" s="8"/>
      <c r="V37" s="8" t="s">
        <v>48</v>
      </c>
      <c r="W37" s="8" t="s">
        <v>37</v>
      </c>
      <c r="X37" s="8" t="s">
        <v>49</v>
      </c>
      <c r="Y37" s="8" t="s">
        <v>50</v>
      </c>
      <c r="Z37" s="8" t="s">
        <v>51</v>
      </c>
      <c r="AA37" s="8" t="s">
        <v>52</v>
      </c>
      <c r="AB37" s="8" t="s">
        <v>53</v>
      </c>
      <c r="AC37" s="8" t="s">
        <v>54</v>
      </c>
    </row>
    <row r="38" spans="1:29" ht="16.2" x14ac:dyDescent="0.35">
      <c r="A38" t="s">
        <v>28</v>
      </c>
      <c r="B38">
        <v>0</v>
      </c>
      <c r="C38">
        <v>-1</v>
      </c>
      <c r="D38">
        <v>-1</v>
      </c>
      <c r="U38" s="6" t="s">
        <v>55</v>
      </c>
      <c r="V38" s="6">
        <v>0</v>
      </c>
      <c r="W38" s="6" t="e">
        <v>#N/A</v>
      </c>
      <c r="X38" s="6" t="e">
        <v>#N/A</v>
      </c>
      <c r="Y38" s="6" t="e">
        <v>#N/A</v>
      </c>
      <c r="Z38" s="6" t="e">
        <v>#N/A</v>
      </c>
      <c r="AA38" s="6" t="e">
        <v>#N/A</v>
      </c>
      <c r="AB38" s="6" t="e">
        <v>#N/A</v>
      </c>
      <c r="AC38" s="6" t="e">
        <v>#N/A</v>
      </c>
    </row>
    <row r="39" spans="1:29" ht="16.2" x14ac:dyDescent="0.35">
      <c r="A39" t="s">
        <v>30</v>
      </c>
      <c r="B39">
        <v>-1</v>
      </c>
      <c r="C39">
        <v>-1</v>
      </c>
      <c r="D39">
        <v>-2</v>
      </c>
      <c r="U39" s="6" t="s">
        <v>56</v>
      </c>
      <c r="V39" s="6">
        <v>107.32052958242271</v>
      </c>
      <c r="W39" s="6">
        <v>0.72303136867650164</v>
      </c>
      <c r="X39" s="6">
        <v>148.43136028644423</v>
      </c>
      <c r="Y39" s="6">
        <v>6.7425283999729857E-7</v>
      </c>
      <c r="Z39" s="6">
        <v>105.01952107457396</v>
      </c>
      <c r="AA39" s="6">
        <v>109.62153809027146</v>
      </c>
      <c r="AB39" s="6">
        <v>105.01952107457396</v>
      </c>
      <c r="AC39" s="6">
        <v>109.62153809027146</v>
      </c>
    </row>
    <row r="40" spans="1:29" ht="16.2" x14ac:dyDescent="0.35">
      <c r="A40" t="s">
        <v>32</v>
      </c>
      <c r="B40">
        <v>2</v>
      </c>
      <c r="C40">
        <v>0</v>
      </c>
      <c r="D40">
        <v>0</v>
      </c>
      <c r="U40" s="6" t="s">
        <v>57</v>
      </c>
      <c r="V40" s="9">
        <v>8.1937323091320291</v>
      </c>
      <c r="W40" s="6">
        <v>0.67594593416671245</v>
      </c>
      <c r="X40" s="6">
        <v>12.121875278727783</v>
      </c>
      <c r="Y40" s="6">
        <v>1.2084320972109879E-3</v>
      </c>
      <c r="Z40" s="6">
        <v>6.0425706683716296</v>
      </c>
      <c r="AA40" s="6">
        <v>10.344893949892429</v>
      </c>
      <c r="AB40" s="6">
        <v>6.0425706683716296</v>
      </c>
      <c r="AC40" s="6">
        <v>10.344893949892429</v>
      </c>
    </row>
    <row r="41" spans="1:29" ht="16.8" thickBot="1" x14ac:dyDescent="0.4">
      <c r="A41" t="s">
        <v>34</v>
      </c>
      <c r="B41">
        <v>0</v>
      </c>
      <c r="C41">
        <v>2</v>
      </c>
      <c r="D41">
        <v>0</v>
      </c>
      <c r="U41" s="7" t="s">
        <v>58</v>
      </c>
      <c r="V41" s="10">
        <v>10.062319854794952</v>
      </c>
      <c r="W41" s="7">
        <v>1.3277690143373757</v>
      </c>
      <c r="X41" s="7">
        <v>7.5783662264603766</v>
      </c>
      <c r="Y41" s="7">
        <v>4.766170079972259E-3</v>
      </c>
      <c r="Z41" s="7">
        <v>5.8367662608467779</v>
      </c>
      <c r="AA41" s="7">
        <v>14.287873448743126</v>
      </c>
      <c r="AB41" s="7">
        <v>5.8367662608467779</v>
      </c>
      <c r="AC41" s="7">
        <v>14.287873448743126</v>
      </c>
    </row>
    <row r="42" spans="1:29" ht="16.2" x14ac:dyDescent="0.35">
      <c r="A42" t="s">
        <v>36</v>
      </c>
      <c r="B42">
        <v>0</v>
      </c>
      <c r="C42">
        <v>0</v>
      </c>
      <c r="D42">
        <v>4</v>
      </c>
    </row>
    <row r="43" spans="1:29" x14ac:dyDescent="0.25">
      <c r="A43" t="s">
        <v>105</v>
      </c>
      <c r="B43">
        <f>SUMPRODUCT(B37:B42,$D$26:$D$31)</f>
        <v>-0.81999999999999318</v>
      </c>
      <c r="C43">
        <f t="shared" ref="C43:D43" si="19">SUMPRODUCT(C37:C42,$D$26:$D$31)</f>
        <v>8.0000000000012506E-2</v>
      </c>
      <c r="D43">
        <f t="shared" si="19"/>
        <v>2.0799999999999841</v>
      </c>
    </row>
    <row r="44" spans="1:29" x14ac:dyDescent="0.25">
      <c r="A44" t="s">
        <v>81</v>
      </c>
      <c r="B44">
        <f>SUMPRODUCT((B37:B42)^2,$F$26:$F$31)</f>
        <v>4.3574000000000002</v>
      </c>
      <c r="C44">
        <f t="shared" ref="C44:D44" si="20">SUMPRODUCT((C37:C42)^2,$F$26:$F$31)</f>
        <v>4.8083999999999998</v>
      </c>
      <c r="D44">
        <f t="shared" si="20"/>
        <v>19.4468</v>
      </c>
    </row>
    <row r="45" spans="1:29" x14ac:dyDescent="0.25">
      <c r="A45" t="s">
        <v>106</v>
      </c>
      <c r="B45">
        <f>B43/SQRT(B44)</f>
        <v>-0.39282592140238398</v>
      </c>
      <c r="C45">
        <f t="shared" ref="C45:D45" si="21">C43/SQRT(C44)</f>
        <v>3.6482928558442228E-2</v>
      </c>
      <c r="D45">
        <f t="shared" si="21"/>
        <v>0.47167109338877372</v>
      </c>
    </row>
    <row r="46" spans="1:29" x14ac:dyDescent="0.25">
      <c r="A46" t="s">
        <v>107</v>
      </c>
      <c r="B46">
        <f>SUMPRODUCT(ABS(B37:B42),$C$26:$C$31)</f>
        <v>396</v>
      </c>
      <c r="C46">
        <f t="shared" ref="C46:D46" si="22">SUMPRODUCT(ABS(C37:C42),$C$26:$C$31)</f>
        <v>396</v>
      </c>
      <c r="D46">
        <f t="shared" si="22"/>
        <v>792</v>
      </c>
    </row>
    <row r="47" spans="1:29" x14ac:dyDescent="0.25">
      <c r="A47" t="s">
        <v>108</v>
      </c>
      <c r="B47">
        <f>_xlfn.T.DIST.2T(ABS(B45),B46)</f>
        <v>0.69465942833990235</v>
      </c>
      <c r="C47">
        <f t="shared" ref="C47:D47" si="23">_xlfn.T.DIST.2T(ABS(C45),C46)</f>
        <v>0.97091567407226587</v>
      </c>
      <c r="D47">
        <f t="shared" si="23"/>
        <v>0.63729148271288882</v>
      </c>
    </row>
    <row r="49" spans="1:6" x14ac:dyDescent="0.25">
      <c r="A49" s="2" t="s">
        <v>109</v>
      </c>
    </row>
    <row r="50" spans="1:6" x14ac:dyDescent="0.25">
      <c r="A50" t="s">
        <v>26</v>
      </c>
    </row>
    <row r="51" spans="1:6" ht="15" thickBot="1" x14ac:dyDescent="0.3"/>
    <row r="52" spans="1:6" x14ac:dyDescent="0.25">
      <c r="A52" s="5" t="s">
        <v>29</v>
      </c>
      <c r="B52" s="5"/>
    </row>
    <row r="53" spans="1:6" x14ac:dyDescent="0.25">
      <c r="A53" s="6" t="s">
        <v>31</v>
      </c>
      <c r="B53" s="6">
        <v>0.99999492592994443</v>
      </c>
    </row>
    <row r="54" spans="1:6" x14ac:dyDescent="0.25">
      <c r="A54" s="6" t="s">
        <v>33</v>
      </c>
      <c r="B54" s="6">
        <v>0.99998985188563516</v>
      </c>
    </row>
    <row r="55" spans="1:6" x14ac:dyDescent="0.25">
      <c r="A55" s="6" t="s">
        <v>35</v>
      </c>
      <c r="B55" s="6">
        <v>0.66664975314272523</v>
      </c>
    </row>
    <row r="56" spans="1:6" x14ac:dyDescent="0.25">
      <c r="A56" s="6" t="s">
        <v>37</v>
      </c>
      <c r="B56" s="6">
        <v>0.3902847254291697</v>
      </c>
    </row>
    <row r="57" spans="1:6" ht="15" thickBot="1" x14ac:dyDescent="0.3">
      <c r="A57" s="7" t="s">
        <v>38</v>
      </c>
      <c r="B57" s="7">
        <v>6</v>
      </c>
    </row>
    <row r="59" spans="1:6" ht="15" thickBot="1" x14ac:dyDescent="0.3">
      <c r="A59" t="s">
        <v>39</v>
      </c>
    </row>
    <row r="60" spans="1:6" x14ac:dyDescent="0.25">
      <c r="A60" s="8"/>
      <c r="B60" s="8" t="s">
        <v>40</v>
      </c>
      <c r="C60" s="8" t="s">
        <v>41</v>
      </c>
      <c r="D60" s="8" t="s">
        <v>42</v>
      </c>
      <c r="E60" s="8" t="s">
        <v>43</v>
      </c>
      <c r="F60" s="8" t="s">
        <v>44</v>
      </c>
    </row>
    <row r="61" spans="1:6" x14ac:dyDescent="0.25">
      <c r="A61" s="6" t="s">
        <v>45</v>
      </c>
      <c r="B61" s="6">
        <v>3</v>
      </c>
      <c r="C61" s="6">
        <v>45029.238627990831</v>
      </c>
      <c r="D61" s="6">
        <v>15009.746209330277</v>
      </c>
      <c r="E61" s="6">
        <v>98539.474027157426</v>
      </c>
      <c r="F61" s="6">
        <v>1.0148131528927796E-5</v>
      </c>
    </row>
    <row r="62" spans="1:6" x14ac:dyDescent="0.25">
      <c r="A62" s="6" t="s">
        <v>46</v>
      </c>
      <c r="B62" s="6">
        <v>3</v>
      </c>
      <c r="C62" s="6">
        <v>0.45696650070996719</v>
      </c>
      <c r="D62" s="6">
        <v>0.1523221669033224</v>
      </c>
      <c r="E62" s="6"/>
      <c r="F62" s="6"/>
    </row>
    <row r="63" spans="1:6" ht="15" thickBot="1" x14ac:dyDescent="0.3">
      <c r="A63" s="7" t="s">
        <v>47</v>
      </c>
      <c r="B63" s="7">
        <v>6</v>
      </c>
      <c r="C63" s="7">
        <v>45029.695594491539</v>
      </c>
      <c r="D63" s="7"/>
      <c r="E63" s="7"/>
      <c r="F63" s="7"/>
    </row>
    <row r="64" spans="1:6" ht="15" thickBot="1" x14ac:dyDescent="0.3"/>
    <row r="65" spans="1:9" x14ac:dyDescent="0.25">
      <c r="A65" s="8"/>
      <c r="B65" s="8" t="s">
        <v>48</v>
      </c>
      <c r="C65" s="8" t="s">
        <v>37</v>
      </c>
      <c r="D65" s="8" t="s">
        <v>49</v>
      </c>
      <c r="E65" s="8" t="s">
        <v>50</v>
      </c>
      <c r="F65" s="8" t="s">
        <v>51</v>
      </c>
      <c r="G65" s="8" t="s">
        <v>52</v>
      </c>
      <c r="H65" s="8" t="s">
        <v>53</v>
      </c>
      <c r="I65" s="8" t="s">
        <v>54</v>
      </c>
    </row>
    <row r="66" spans="1:9" x14ac:dyDescent="0.25">
      <c r="A66" s="6" t="s">
        <v>55</v>
      </c>
      <c r="B66" s="6">
        <v>0</v>
      </c>
      <c r="C66" s="6" t="e">
        <v>#N/A</v>
      </c>
      <c r="D66" s="6" t="e">
        <v>#N/A</v>
      </c>
      <c r="E66" s="6" t="e">
        <v>#N/A</v>
      </c>
      <c r="F66" s="6" t="e">
        <v>#N/A</v>
      </c>
      <c r="G66" s="6" t="e">
        <v>#N/A</v>
      </c>
      <c r="H66" s="6" t="e">
        <v>#N/A</v>
      </c>
      <c r="I66" s="6" t="e">
        <v>#N/A</v>
      </c>
    </row>
    <row r="67" spans="1:9" x14ac:dyDescent="0.25">
      <c r="A67" s="6" t="s">
        <v>56</v>
      </c>
      <c r="B67" s="6">
        <v>64.248427187717681</v>
      </c>
      <c r="C67" s="6">
        <v>0.20102853283701394</v>
      </c>
      <c r="D67" s="6">
        <v>319.5985479325355</v>
      </c>
      <c r="E67" s="6">
        <v>6.7552441066813886E-8</v>
      </c>
      <c r="F67" s="6">
        <v>63.60866467613392</v>
      </c>
      <c r="G67" s="6">
        <v>64.888189699301435</v>
      </c>
      <c r="H67" s="6">
        <v>63.60866467613392</v>
      </c>
      <c r="I67" s="6">
        <v>64.888189699301435</v>
      </c>
    </row>
    <row r="68" spans="1:9" x14ac:dyDescent="0.25">
      <c r="A68" s="6" t="s">
        <v>57</v>
      </c>
      <c r="B68" s="6">
        <v>5.1267712815692885</v>
      </c>
      <c r="C68" s="6">
        <v>0.20097567650818851</v>
      </c>
      <c r="D68" s="6">
        <v>25.509411738989243</v>
      </c>
      <c r="E68" s="6">
        <v>1.3212104397413251E-4</v>
      </c>
      <c r="F68" s="6">
        <v>4.4871769824139101</v>
      </c>
      <c r="G68" s="6">
        <v>5.766365580724667</v>
      </c>
      <c r="H68" s="6">
        <v>4.4871769824139101</v>
      </c>
      <c r="I68" s="6">
        <v>5.766365580724667</v>
      </c>
    </row>
    <row r="69" spans="1:9" ht="15" thickBot="1" x14ac:dyDescent="0.3">
      <c r="A69" s="7" t="s">
        <v>58</v>
      </c>
      <c r="B69" s="7">
        <v>19.199746530091545</v>
      </c>
      <c r="C69" s="7">
        <v>0.35145071552512674</v>
      </c>
      <c r="D69" s="7">
        <v>54.629982759898155</v>
      </c>
      <c r="E69" s="7">
        <v>1.3509955929185439E-5</v>
      </c>
      <c r="F69" s="7">
        <v>18.081273498979289</v>
      </c>
      <c r="G69" s="7">
        <v>20.318219561203801</v>
      </c>
      <c r="H69" s="7">
        <v>18.081273498979289</v>
      </c>
      <c r="I69" s="7">
        <v>20.318219561203801</v>
      </c>
    </row>
  </sheetData>
  <phoneticPr fontId="1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3076" r:id="rId3">
          <objectPr defaultSize="0" autoPict="0" r:id="rId4">
            <anchor moveWithCells="1" sizeWithCells="1">
              <from>
                <xdr:col>4</xdr:col>
                <xdr:colOff>358140</xdr:colOff>
                <xdr:row>11</xdr:row>
                <xdr:rowOff>91440</xdr:rowOff>
              </from>
              <to>
                <xdr:col>6</xdr:col>
                <xdr:colOff>411480</xdr:colOff>
                <xdr:row>12</xdr:row>
                <xdr:rowOff>144780</xdr:rowOff>
              </to>
            </anchor>
          </objectPr>
        </oleObject>
      </mc:Choice>
      <mc:Fallback>
        <oleObject progId="Equation.3" shapeId="3076" r:id="rId3"/>
      </mc:Fallback>
    </mc:AlternateContent>
    <mc:AlternateContent xmlns:mc="http://schemas.openxmlformats.org/markup-compatibility/2006">
      <mc:Choice Requires="x14">
        <oleObject progId="Equation.3" shapeId="3077" r:id="rId5">
          <objectPr defaultSize="0" autoPict="0" r:id="rId6">
            <anchor moveWithCells="1" sizeWithCells="1">
              <from>
                <xdr:col>4</xdr:col>
                <xdr:colOff>320040</xdr:colOff>
                <xdr:row>13</xdr:row>
                <xdr:rowOff>7620</xdr:rowOff>
              </from>
              <to>
                <xdr:col>6</xdr:col>
                <xdr:colOff>396240</xdr:colOff>
                <xdr:row>14</xdr:row>
                <xdr:rowOff>30480</xdr:rowOff>
              </to>
            </anchor>
          </objectPr>
        </oleObject>
      </mc:Choice>
      <mc:Fallback>
        <oleObject progId="Equation.3" shapeId="3077" r:id="rId5"/>
      </mc:Fallback>
    </mc:AlternateContent>
    <mc:AlternateContent xmlns:mc="http://schemas.openxmlformats.org/markup-compatibility/2006">
      <mc:Choice Requires="x14">
        <oleObject progId="Equation.3" shapeId="3078" r:id="rId7">
          <objectPr defaultSize="0" autoPict="0" r:id="rId8">
            <anchor moveWithCells="1" sizeWithCells="1">
              <from>
                <xdr:col>4</xdr:col>
                <xdr:colOff>350520</xdr:colOff>
                <xdr:row>14</xdr:row>
                <xdr:rowOff>160020</xdr:rowOff>
              </from>
              <to>
                <xdr:col>7</xdr:col>
                <xdr:colOff>121920</xdr:colOff>
                <xdr:row>15</xdr:row>
                <xdr:rowOff>182880</xdr:rowOff>
              </to>
            </anchor>
          </objectPr>
        </oleObject>
      </mc:Choice>
      <mc:Fallback>
        <oleObject progId="Equation.3" shapeId="3078" r:id="rId7"/>
      </mc:Fallback>
    </mc:AlternateContent>
    <mc:AlternateContent xmlns:mc="http://schemas.openxmlformats.org/markup-compatibility/2006">
      <mc:Choice Requires="x14">
        <oleObject progId="Equation.3" shapeId="3079" r:id="rId9">
          <objectPr defaultSize="0" autoPict="0" r:id="rId10">
            <anchor moveWithCells="1" sizeWithCells="1">
              <from>
                <xdr:col>9</xdr:col>
                <xdr:colOff>7620</xdr:colOff>
                <xdr:row>12</xdr:row>
                <xdr:rowOff>144780</xdr:rowOff>
              </from>
              <to>
                <xdr:col>14</xdr:col>
                <xdr:colOff>586740</xdr:colOff>
                <xdr:row>13</xdr:row>
                <xdr:rowOff>182880</xdr:rowOff>
              </to>
            </anchor>
          </objectPr>
        </oleObject>
      </mc:Choice>
      <mc:Fallback>
        <oleObject progId="Equation.3" shapeId="3079" r:id="rId9"/>
      </mc:Fallback>
    </mc:AlternateContent>
    <mc:AlternateContent xmlns:mc="http://schemas.openxmlformats.org/markup-compatibility/2006">
      <mc:Choice Requires="x14">
        <oleObject progId="Equation.3" shapeId="3080" r:id="rId11">
          <objectPr defaultSize="0" autoPict="0" r:id="rId12">
            <anchor moveWithCells="1" sizeWithCells="1">
              <from>
                <xdr:col>9</xdr:col>
                <xdr:colOff>0</xdr:colOff>
                <xdr:row>14</xdr:row>
                <xdr:rowOff>0</xdr:rowOff>
              </from>
              <to>
                <xdr:col>14</xdr:col>
                <xdr:colOff>243840</xdr:colOff>
                <xdr:row>15</xdr:row>
                <xdr:rowOff>30480</xdr:rowOff>
              </to>
            </anchor>
          </objectPr>
        </oleObject>
      </mc:Choice>
      <mc:Fallback>
        <oleObject progId="Equation.3" shapeId="3080" r:id="rId11"/>
      </mc:Fallback>
    </mc:AlternateContent>
    <mc:AlternateContent xmlns:mc="http://schemas.openxmlformats.org/markup-compatibility/2006">
      <mc:Choice Requires="x14">
        <oleObject progId="Equation.3" shapeId="3081" r:id="rId13">
          <objectPr defaultSize="0" autoPict="0" r:id="rId14">
            <anchor moveWithCells="1" sizeWithCells="1">
              <from>
                <xdr:col>12</xdr:col>
                <xdr:colOff>22860</xdr:colOff>
                <xdr:row>9</xdr:row>
                <xdr:rowOff>175260</xdr:rowOff>
              </from>
              <to>
                <xdr:col>12</xdr:col>
                <xdr:colOff>601980</xdr:colOff>
                <xdr:row>11</xdr:row>
                <xdr:rowOff>30480</xdr:rowOff>
              </to>
            </anchor>
          </objectPr>
        </oleObject>
      </mc:Choice>
      <mc:Fallback>
        <oleObject progId="Equation.3" shapeId="3081" r:id="rId13"/>
      </mc:Fallback>
    </mc:AlternateContent>
    <mc:AlternateContent xmlns:mc="http://schemas.openxmlformats.org/markup-compatibility/2006">
      <mc:Choice Requires="x14">
        <oleObject progId="Equation.3" shapeId="3082" r:id="rId15">
          <objectPr defaultSize="0" autoPict="0" r:id="rId16">
            <anchor moveWithCells="1" sizeWithCells="1">
              <from>
                <xdr:col>8</xdr:col>
                <xdr:colOff>419100</xdr:colOff>
                <xdr:row>15</xdr:row>
                <xdr:rowOff>144780</xdr:rowOff>
              </from>
              <to>
                <xdr:col>11</xdr:col>
                <xdr:colOff>449580</xdr:colOff>
                <xdr:row>18</xdr:row>
                <xdr:rowOff>7620</xdr:rowOff>
              </to>
            </anchor>
          </objectPr>
        </oleObject>
      </mc:Choice>
      <mc:Fallback>
        <oleObject progId="Equation.3" shapeId="3082" r:id="rId15"/>
      </mc:Fallback>
    </mc:AlternateContent>
    <mc:AlternateContent xmlns:mc="http://schemas.openxmlformats.org/markup-compatibility/2006">
      <mc:Choice Requires="x14">
        <oleObject progId="Equation.3" shapeId="3083" r:id="rId17">
          <objectPr defaultSize="0" autoPict="0" r:id="rId18">
            <anchor moveWithCells="1" sizeWithCells="1">
              <from>
                <xdr:col>12</xdr:col>
                <xdr:colOff>30480</xdr:colOff>
                <xdr:row>15</xdr:row>
                <xdr:rowOff>53340</xdr:rowOff>
              </from>
              <to>
                <xdr:col>13</xdr:col>
                <xdr:colOff>243840</xdr:colOff>
                <xdr:row>17</xdr:row>
                <xdr:rowOff>99060</xdr:rowOff>
              </to>
            </anchor>
          </objectPr>
        </oleObject>
      </mc:Choice>
      <mc:Fallback>
        <oleObject progId="Equation.3" shapeId="3083" r:id="rId17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5"/>
  <sheetViews>
    <sheetView workbookViewId="0">
      <selection activeCell="Q2" sqref="Q2:S2"/>
    </sheetView>
  </sheetViews>
  <sheetFormatPr defaultRowHeight="14.4" x14ac:dyDescent="0.25"/>
  <cols>
    <col min="6" max="6" width="11.88671875" bestFit="1" customWidth="1"/>
    <col min="8" max="8" width="12.77734375" bestFit="1" customWidth="1"/>
    <col min="15" max="15" width="11.44140625" customWidth="1"/>
  </cols>
  <sheetData>
    <row r="1" spans="1:19" x14ac:dyDescent="0.25">
      <c r="A1" s="2" t="s">
        <v>113</v>
      </c>
      <c r="B1" t="s">
        <v>114</v>
      </c>
      <c r="D1" t="s">
        <v>115</v>
      </c>
      <c r="F1" t="s">
        <v>116</v>
      </c>
      <c r="Q1" t="s">
        <v>168</v>
      </c>
    </row>
    <row r="2" spans="1:19" x14ac:dyDescent="0.25">
      <c r="B2" t="s">
        <v>118</v>
      </c>
      <c r="C2" t="s">
        <v>119</v>
      </c>
      <c r="D2" t="s">
        <v>117</v>
      </c>
      <c r="E2" t="s">
        <v>119</v>
      </c>
      <c r="F2" t="s">
        <v>118</v>
      </c>
      <c r="G2" t="s">
        <v>119</v>
      </c>
      <c r="K2" t="s">
        <v>114</v>
      </c>
      <c r="L2" t="s">
        <v>115</v>
      </c>
      <c r="M2" t="s">
        <v>116</v>
      </c>
      <c r="N2" t="s">
        <v>163</v>
      </c>
      <c r="O2" t="s">
        <v>166</v>
      </c>
      <c r="Q2" t="s">
        <v>114</v>
      </c>
      <c r="R2" t="s">
        <v>115</v>
      </c>
      <c r="S2" t="s">
        <v>116</v>
      </c>
    </row>
    <row r="3" spans="1:19" x14ac:dyDescent="0.25">
      <c r="A3" t="s">
        <v>120</v>
      </c>
      <c r="B3" s="11">
        <v>15.3</v>
      </c>
      <c r="C3" s="11">
        <v>15.1</v>
      </c>
      <c r="D3" s="11">
        <v>14.4</v>
      </c>
      <c r="E3" s="11">
        <v>14.6</v>
      </c>
      <c r="F3" s="11">
        <v>14.5</v>
      </c>
      <c r="G3" s="11">
        <v>14.8</v>
      </c>
      <c r="J3" t="s">
        <v>120</v>
      </c>
      <c r="K3" s="16">
        <f>AVERAGE(B3:C3)</f>
        <v>15.2</v>
      </c>
      <c r="L3" s="16">
        <f>AVERAGE(D3:E3)</f>
        <v>14.5</v>
      </c>
      <c r="M3" s="16">
        <f>AVERAGE(F3:G3)</f>
        <v>14.65</v>
      </c>
      <c r="N3" s="16">
        <f>AVERAGE(K3:M3)</f>
        <v>14.783333333333333</v>
      </c>
      <c r="O3" s="11">
        <f>N3-N$13</f>
        <v>-0.17000000000000348</v>
      </c>
      <c r="Q3" s="16">
        <f>K3-$O3-K$14-$N$13</f>
        <v>1.225000000000005</v>
      </c>
      <c r="R3" s="16">
        <f t="shared" ref="R3:S3" si="0">L3-$O3-L$14-$N$13</f>
        <v>-0.73499999999999766</v>
      </c>
      <c r="S3" s="16">
        <f t="shared" si="0"/>
        <v>-0.48999999999999488</v>
      </c>
    </row>
    <row r="4" spans="1:19" x14ac:dyDescent="0.25">
      <c r="A4" t="s">
        <v>121</v>
      </c>
      <c r="B4" s="11">
        <v>14.5</v>
      </c>
      <c r="C4" s="11">
        <v>15</v>
      </c>
      <c r="D4" s="11">
        <v>15.8</v>
      </c>
      <c r="E4" s="11">
        <v>15.7</v>
      </c>
      <c r="F4" s="11">
        <v>16.3</v>
      </c>
      <c r="G4" s="11">
        <v>15.7</v>
      </c>
      <c r="J4" t="s">
        <v>121</v>
      </c>
      <c r="K4" s="16">
        <f t="shared" ref="K4:K12" si="1">AVERAGE(B4:C4)</f>
        <v>14.75</v>
      </c>
      <c r="L4" s="16">
        <f t="shared" ref="L4:L12" si="2">AVERAGE(D4:E4)</f>
        <v>15.75</v>
      </c>
      <c r="M4" s="16">
        <f t="shared" ref="M4:M12" si="3">AVERAGE(F4:G4)</f>
        <v>16</v>
      </c>
      <c r="N4" s="16">
        <f t="shared" ref="N4:N12" si="4">AVERAGE(K4:M4)</f>
        <v>15.5</v>
      </c>
      <c r="O4" s="11">
        <f t="shared" ref="O4:O12" si="5">N4-N$13</f>
        <v>0.5466666666666633</v>
      </c>
      <c r="Q4" s="16">
        <f t="shared" ref="Q4:Q12" si="6">K4-$O4-K$14-$N$13</f>
        <v>5.8333333333337123E-2</v>
      </c>
      <c r="R4" s="16">
        <f t="shared" ref="R4:R12" si="7">L4-$O4-L$14-$N$13</f>
        <v>-0.20166666666666444</v>
      </c>
      <c r="S4" s="16">
        <f t="shared" ref="S4:S12" si="8">M4-$O4-M$14-$N$13</f>
        <v>0.14333333333333798</v>
      </c>
    </row>
    <row r="5" spans="1:19" x14ac:dyDescent="0.25">
      <c r="A5" t="s">
        <v>122</v>
      </c>
      <c r="B5" s="11">
        <v>14</v>
      </c>
      <c r="C5" s="11">
        <v>14.9</v>
      </c>
      <c r="D5" s="11">
        <v>15.9</v>
      </c>
      <c r="E5" s="11">
        <v>15.8</v>
      </c>
      <c r="F5" s="11">
        <v>15.2</v>
      </c>
      <c r="G5" s="11">
        <v>16.100000000000001</v>
      </c>
      <c r="J5" t="s">
        <v>122</v>
      </c>
      <c r="K5" s="16">
        <f t="shared" si="1"/>
        <v>14.45</v>
      </c>
      <c r="L5" s="16">
        <f t="shared" si="2"/>
        <v>15.850000000000001</v>
      </c>
      <c r="M5" s="16">
        <f t="shared" si="3"/>
        <v>15.65</v>
      </c>
      <c r="N5" s="16">
        <f t="shared" si="4"/>
        <v>15.316666666666668</v>
      </c>
      <c r="O5" s="11">
        <f t="shared" si="5"/>
        <v>0.36333333333333151</v>
      </c>
      <c r="Q5" s="16">
        <f t="shared" si="6"/>
        <v>-5.8333333333331794E-2</v>
      </c>
      <c r="R5" s="16">
        <f t="shared" si="7"/>
        <v>8.1666666666668775E-2</v>
      </c>
      <c r="S5" s="16">
        <f t="shared" si="8"/>
        <v>-2.3333333333329875E-2</v>
      </c>
    </row>
    <row r="6" spans="1:19" x14ac:dyDescent="0.25">
      <c r="A6" t="s">
        <v>123</v>
      </c>
      <c r="B6" s="11">
        <v>13.2</v>
      </c>
      <c r="C6" s="11">
        <v>14</v>
      </c>
      <c r="D6" s="11">
        <v>16</v>
      </c>
      <c r="E6" s="11">
        <v>16.8</v>
      </c>
      <c r="F6" s="11">
        <v>15</v>
      </c>
      <c r="G6" s="11">
        <v>15.5</v>
      </c>
      <c r="J6" t="s">
        <v>123</v>
      </c>
      <c r="K6" s="16">
        <f t="shared" si="1"/>
        <v>13.6</v>
      </c>
      <c r="L6" s="16">
        <f t="shared" si="2"/>
        <v>16.399999999999999</v>
      </c>
      <c r="M6" s="16">
        <f t="shared" si="3"/>
        <v>15.25</v>
      </c>
      <c r="N6" s="16">
        <f t="shared" si="4"/>
        <v>15.083333333333334</v>
      </c>
      <c r="O6" s="11">
        <f t="shared" si="5"/>
        <v>0.12999999999999723</v>
      </c>
      <c r="Q6" s="16">
        <f t="shared" si="6"/>
        <v>-0.67499999999999716</v>
      </c>
      <c r="R6" s="16">
        <f t="shared" si="7"/>
        <v>0.86500000000000199</v>
      </c>
      <c r="S6" s="16">
        <f t="shared" si="8"/>
        <v>-0.18999999999999595</v>
      </c>
    </row>
    <row r="7" spans="1:19" x14ac:dyDescent="0.25">
      <c r="A7" t="s">
        <v>124</v>
      </c>
      <c r="B7" s="11">
        <v>15.4</v>
      </c>
      <c r="C7" s="11">
        <v>15.9</v>
      </c>
      <c r="D7" s="11">
        <v>16.7</v>
      </c>
      <c r="E7" s="11">
        <v>16.600000000000001</v>
      </c>
      <c r="F7" s="11">
        <v>15.4</v>
      </c>
      <c r="G7" s="11">
        <v>15.6</v>
      </c>
      <c r="J7" t="s">
        <v>124</v>
      </c>
      <c r="K7" s="16">
        <f t="shared" si="1"/>
        <v>15.65</v>
      </c>
      <c r="L7" s="16">
        <f t="shared" si="2"/>
        <v>16.649999999999999</v>
      </c>
      <c r="M7" s="16">
        <f t="shared" si="3"/>
        <v>15.5</v>
      </c>
      <c r="N7" s="16">
        <f t="shared" si="4"/>
        <v>15.933333333333332</v>
      </c>
      <c r="O7" s="11">
        <f t="shared" si="5"/>
        <v>0.9799999999999951</v>
      </c>
      <c r="Q7" s="16">
        <f t="shared" si="6"/>
        <v>0.52500000000000568</v>
      </c>
      <c r="R7" s="16">
        <f t="shared" si="7"/>
        <v>0.26500000000000234</v>
      </c>
      <c r="S7" s="16">
        <f t="shared" si="8"/>
        <v>-0.78999999999999382</v>
      </c>
    </row>
    <row r="8" spans="1:19" x14ac:dyDescent="0.25">
      <c r="A8" t="s">
        <v>125</v>
      </c>
      <c r="B8" s="11">
        <v>15.5</v>
      </c>
      <c r="C8" s="11">
        <v>15.6</v>
      </c>
      <c r="D8" s="11">
        <v>16.100000000000001</v>
      </c>
      <c r="E8" s="11">
        <v>16.7</v>
      </c>
      <c r="F8" s="11">
        <v>16</v>
      </c>
      <c r="G8" s="11">
        <v>17</v>
      </c>
      <c r="J8" t="s">
        <v>125</v>
      </c>
      <c r="K8" s="16">
        <f t="shared" si="1"/>
        <v>15.55</v>
      </c>
      <c r="L8" s="16">
        <f t="shared" si="2"/>
        <v>16.399999999999999</v>
      </c>
      <c r="M8" s="16">
        <f t="shared" si="3"/>
        <v>16.5</v>
      </c>
      <c r="N8" s="16">
        <f t="shared" si="4"/>
        <v>16.150000000000002</v>
      </c>
      <c r="O8" s="11">
        <f t="shared" si="5"/>
        <v>1.1966666666666654</v>
      </c>
      <c r="Q8" s="16">
        <f t="shared" si="6"/>
        <v>0.2083333333333357</v>
      </c>
      <c r="R8" s="16">
        <f t="shared" si="7"/>
        <v>-0.20166666666666799</v>
      </c>
      <c r="S8" s="16">
        <f t="shared" si="8"/>
        <v>-6.6666666666641561E-3</v>
      </c>
    </row>
    <row r="9" spans="1:19" x14ac:dyDescent="0.25">
      <c r="A9" t="s">
        <v>126</v>
      </c>
      <c r="B9" s="11">
        <v>13.2</v>
      </c>
      <c r="C9" s="11">
        <v>14.1</v>
      </c>
      <c r="D9" s="11">
        <v>14.3</v>
      </c>
      <c r="E9" s="11">
        <v>14.9</v>
      </c>
      <c r="F9" s="11">
        <v>14.1</v>
      </c>
      <c r="G9" s="11">
        <v>14.5</v>
      </c>
      <c r="J9" t="s">
        <v>126</v>
      </c>
      <c r="K9" s="16">
        <f t="shared" si="1"/>
        <v>13.649999999999999</v>
      </c>
      <c r="L9" s="16">
        <f t="shared" si="2"/>
        <v>14.600000000000001</v>
      </c>
      <c r="M9" s="16">
        <f t="shared" si="3"/>
        <v>14.3</v>
      </c>
      <c r="N9" s="16">
        <f t="shared" si="4"/>
        <v>14.183333333333332</v>
      </c>
      <c r="O9" s="11">
        <f t="shared" si="5"/>
        <v>-0.7700000000000049</v>
      </c>
      <c r="Q9" s="16">
        <f t="shared" si="6"/>
        <v>0.27500000000000391</v>
      </c>
      <c r="R9" s="16">
        <f t="shared" si="7"/>
        <v>-3.4999999999994813E-2</v>
      </c>
      <c r="S9" s="16">
        <f t="shared" si="8"/>
        <v>-0.23999999999999311</v>
      </c>
    </row>
    <row r="10" spans="1:19" x14ac:dyDescent="0.25">
      <c r="A10" t="s">
        <v>127</v>
      </c>
      <c r="B10" s="11">
        <v>11.9</v>
      </c>
      <c r="C10" s="11">
        <v>12.6</v>
      </c>
      <c r="D10" s="11">
        <v>14.2</v>
      </c>
      <c r="E10" s="11">
        <v>14.4</v>
      </c>
      <c r="F10" s="11">
        <v>15.2</v>
      </c>
      <c r="G10" s="11">
        <v>16.100000000000001</v>
      </c>
      <c r="J10" t="s">
        <v>127</v>
      </c>
      <c r="K10" s="16">
        <f t="shared" si="1"/>
        <v>12.25</v>
      </c>
      <c r="L10" s="16">
        <f t="shared" si="2"/>
        <v>14.3</v>
      </c>
      <c r="M10" s="16">
        <f t="shared" si="3"/>
        <v>15.65</v>
      </c>
      <c r="N10" s="16">
        <f t="shared" si="4"/>
        <v>14.066666666666668</v>
      </c>
      <c r="O10" s="11">
        <f t="shared" si="5"/>
        <v>-0.88666666666666849</v>
      </c>
      <c r="Q10" s="16">
        <f t="shared" si="6"/>
        <v>-1.0083333333333311</v>
      </c>
      <c r="R10" s="16">
        <f t="shared" si="7"/>
        <v>-0.21833333333333194</v>
      </c>
      <c r="S10" s="16">
        <f t="shared" si="8"/>
        <v>1.2266666666666701</v>
      </c>
    </row>
    <row r="11" spans="1:19" x14ac:dyDescent="0.25">
      <c r="A11" t="s">
        <v>128</v>
      </c>
      <c r="B11" s="11">
        <v>12.8</v>
      </c>
      <c r="C11" s="11">
        <v>13.5</v>
      </c>
      <c r="D11" s="11">
        <v>14.5</v>
      </c>
      <c r="E11" s="11">
        <v>14.6</v>
      </c>
      <c r="F11" s="11">
        <v>15.3</v>
      </c>
      <c r="G11" s="11">
        <v>15.5</v>
      </c>
      <c r="J11" t="s">
        <v>128</v>
      </c>
      <c r="K11" s="16">
        <f t="shared" si="1"/>
        <v>13.15</v>
      </c>
      <c r="L11" s="16">
        <f t="shared" si="2"/>
        <v>14.55</v>
      </c>
      <c r="M11" s="16">
        <f t="shared" si="3"/>
        <v>15.4</v>
      </c>
      <c r="N11" s="16">
        <f t="shared" si="4"/>
        <v>14.366666666666667</v>
      </c>
      <c r="O11" s="11">
        <f t="shared" si="5"/>
        <v>-0.58666666666666956</v>
      </c>
      <c r="Q11" s="16">
        <f t="shared" si="6"/>
        <v>-0.40833333333332966</v>
      </c>
      <c r="R11" s="16">
        <f t="shared" si="7"/>
        <v>-0.26833333333333087</v>
      </c>
      <c r="S11" s="16">
        <f t="shared" si="8"/>
        <v>0.67666666666667119</v>
      </c>
    </row>
    <row r="12" spans="1:19" x14ac:dyDescent="0.25">
      <c r="A12" t="s">
        <v>129</v>
      </c>
      <c r="B12" s="11">
        <v>12.8</v>
      </c>
      <c r="C12" s="11">
        <v>13.6</v>
      </c>
      <c r="D12" s="11">
        <v>14.6</v>
      </c>
      <c r="E12" s="11">
        <v>15.5</v>
      </c>
      <c r="F12" s="11">
        <v>14.2</v>
      </c>
      <c r="G12" s="11">
        <v>14.2</v>
      </c>
      <c r="J12" t="s">
        <v>129</v>
      </c>
      <c r="K12" s="16">
        <f t="shared" si="1"/>
        <v>13.2</v>
      </c>
      <c r="L12" s="16">
        <f t="shared" si="2"/>
        <v>15.05</v>
      </c>
      <c r="M12" s="16">
        <f t="shared" si="3"/>
        <v>14.2</v>
      </c>
      <c r="N12" s="16">
        <f t="shared" si="4"/>
        <v>14.15</v>
      </c>
      <c r="O12" s="11">
        <f t="shared" si="5"/>
        <v>-0.80333333333333634</v>
      </c>
      <c r="Q12" s="16">
        <f t="shared" si="6"/>
        <v>-0.14166666666666394</v>
      </c>
      <c r="R12" s="16">
        <f t="shared" si="7"/>
        <v>0.44833333333333591</v>
      </c>
      <c r="S12" s="16">
        <f t="shared" si="8"/>
        <v>-0.30666666666666309</v>
      </c>
    </row>
    <row r="13" spans="1:19" x14ac:dyDescent="0.25">
      <c r="J13" t="s">
        <v>165</v>
      </c>
      <c r="K13" s="16">
        <f>AVERAGE(K3:K12)</f>
        <v>14.145</v>
      </c>
      <c r="L13" s="16">
        <f t="shared" ref="L13:M13" si="9">AVERAGE(L3:L12)</f>
        <v>15.405000000000001</v>
      </c>
      <c r="M13" s="16">
        <f t="shared" si="9"/>
        <v>15.309999999999999</v>
      </c>
      <c r="N13" s="27">
        <f>AVERAGE(B3:G12)</f>
        <v>14.953333333333337</v>
      </c>
    </row>
    <row r="14" spans="1:19" ht="15" thickBot="1" x14ac:dyDescent="0.3">
      <c r="A14" s="2" t="s">
        <v>130</v>
      </c>
      <c r="J14" t="s">
        <v>167</v>
      </c>
      <c r="K14" s="16">
        <f>K13-$N13</f>
        <v>-0.80833333333333712</v>
      </c>
      <c r="L14" s="16">
        <f t="shared" ref="L14:M14" si="10">L13-$N13</f>
        <v>0.45166666666666444</v>
      </c>
      <c r="M14" s="16">
        <f t="shared" si="10"/>
        <v>0.35666666666666202</v>
      </c>
      <c r="N14" s="16"/>
    </row>
    <row r="15" spans="1:19" ht="15" thickBot="1" x14ac:dyDescent="0.3">
      <c r="A15" s="12" t="s">
        <v>131</v>
      </c>
      <c r="B15" s="12" t="s">
        <v>132</v>
      </c>
      <c r="C15" s="12" t="s">
        <v>133</v>
      </c>
      <c r="D15" s="12" t="s">
        <v>134</v>
      </c>
      <c r="E15" s="13" t="s">
        <v>135</v>
      </c>
      <c r="F15" s="14" t="s">
        <v>136</v>
      </c>
      <c r="G15" s="12" t="s">
        <v>137</v>
      </c>
      <c r="H15" s="24"/>
    </row>
    <row r="16" spans="1:19" x14ac:dyDescent="0.25">
      <c r="A16" s="15" t="s">
        <v>138</v>
      </c>
      <c r="B16" s="16">
        <v>9</v>
      </c>
      <c r="C16" s="16">
        <f>SUMSQ(O3:O12)*6</f>
        <v>31.426000000000009</v>
      </c>
      <c r="D16" s="16">
        <f>C16/B16</f>
        <v>3.491777777777779</v>
      </c>
      <c r="E16" s="17">
        <f>D16/D19</f>
        <v>20.380025940367627</v>
      </c>
      <c r="F16">
        <f>FDIST(E16,B16,B19)</f>
        <v>1.8381262330225149E-10</v>
      </c>
      <c r="G16" s="16">
        <f>(D16-D19)/3/2</f>
        <v>0.5534074074074502</v>
      </c>
    </row>
    <row r="17" spans="1:21" x14ac:dyDescent="0.25">
      <c r="A17" s="15" t="s">
        <v>139</v>
      </c>
      <c r="B17" s="16">
        <f>3-1</f>
        <v>2</v>
      </c>
      <c r="C17" s="16">
        <f>SUMSQ(K14:M14)*20</f>
        <v>19.692333333333348</v>
      </c>
      <c r="D17" s="16">
        <f t="shared" ref="D17:D19" si="11">C17/B17</f>
        <v>9.8461666666666741</v>
      </c>
      <c r="E17" s="17">
        <f>D17/D19</f>
        <v>57.46789883277058</v>
      </c>
      <c r="F17">
        <f>FDIST(E17,B17,B19)</f>
        <v>5.4850911035469556E-11</v>
      </c>
      <c r="G17" s="16">
        <f>(D17-D19)/10/2</f>
        <v>0.48374166666667984</v>
      </c>
    </row>
    <row r="18" spans="1:21" x14ac:dyDescent="0.25">
      <c r="A18" s="15" t="s">
        <v>140</v>
      </c>
      <c r="B18" s="16">
        <f>B16*B17</f>
        <v>18</v>
      </c>
      <c r="C18" s="16">
        <f>SUMSQ(Q3:S12)*2</f>
        <v>16.731000000000012</v>
      </c>
      <c r="D18" s="16">
        <f t="shared" si="11"/>
        <v>0.92950000000000066</v>
      </c>
      <c r="E18" s="17">
        <f>D18/D19</f>
        <v>5.4250972762726866</v>
      </c>
      <c r="F18">
        <f>FDIST(E18,B18,B19)</f>
        <v>2.4901706372672117E-5</v>
      </c>
      <c r="G18" s="16">
        <f>(D18-D19)/2</f>
        <v>0.37908333333346145</v>
      </c>
    </row>
    <row r="19" spans="1:21" x14ac:dyDescent="0.25">
      <c r="A19" s="15" t="s">
        <v>141</v>
      </c>
      <c r="B19" s="16">
        <f>10*3*(2-1)</f>
        <v>30</v>
      </c>
      <c r="C19" s="17">
        <f>C20-C16-C17-C18</f>
        <v>5.1399999999923338</v>
      </c>
      <c r="D19" s="17">
        <f t="shared" si="11"/>
        <v>0.17133333333307779</v>
      </c>
      <c r="E19" s="19"/>
      <c r="F19" s="18"/>
      <c r="G19" s="17">
        <f>D19</f>
        <v>0.17133333333307779</v>
      </c>
    </row>
    <row r="20" spans="1:21" ht="15" thickBot="1" x14ac:dyDescent="0.3">
      <c r="A20" s="20" t="s">
        <v>142</v>
      </c>
      <c r="B20" s="21">
        <f>10*3*2-1</f>
        <v>59</v>
      </c>
      <c r="C20" s="21">
        <f>SUMSQ(B3:G12)-60*N13^2</f>
        <v>72.989333333325703</v>
      </c>
      <c r="D20" s="22"/>
      <c r="E20" s="22"/>
      <c r="F20" s="23"/>
      <c r="G20" s="22"/>
      <c r="K20" s="11"/>
    </row>
    <row r="22" spans="1:21" x14ac:dyDescent="0.25">
      <c r="A22" s="24" t="s">
        <v>10</v>
      </c>
      <c r="B22">
        <f>G16/(G16+G18+G19)</f>
        <v>0.5013547180257959</v>
      </c>
    </row>
    <row r="23" spans="1:21" x14ac:dyDescent="0.25">
      <c r="A23" s="24" t="s">
        <v>143</v>
      </c>
      <c r="B23">
        <f>G16/(G16+G18/3+G19/6)</f>
        <v>0.7812912587092774</v>
      </c>
    </row>
    <row r="24" spans="1:21" x14ac:dyDescent="0.25">
      <c r="A24" s="24" t="s">
        <v>144</v>
      </c>
      <c r="B24">
        <f>_xlfn.T.INV.2T(0.05,B19)</f>
        <v>2.0422724563012378</v>
      </c>
    </row>
    <row r="25" spans="1:21" x14ac:dyDescent="0.25">
      <c r="A25" s="24" t="s">
        <v>145</v>
      </c>
      <c r="B25">
        <f>B24*SQRT(2*D19/6)</f>
        <v>0.48806086458793252</v>
      </c>
    </row>
    <row r="26" spans="1:21" x14ac:dyDescent="0.25">
      <c r="B26">
        <f>B24*SQRT(2*D18/6)</f>
        <v>1.1367834699082822</v>
      </c>
    </row>
    <row r="28" spans="1:21" ht="15" thickBot="1" x14ac:dyDescent="0.3">
      <c r="A28" s="2" t="s">
        <v>146</v>
      </c>
      <c r="I28">
        <f>AVERAGE(B3:B12)</f>
        <v>13.860000000000003</v>
      </c>
      <c r="J28">
        <f>AVERAGE(C3:C12)</f>
        <v>14.429999999999998</v>
      </c>
      <c r="K28">
        <f t="shared" ref="J28:N28" si="12">AVERAGE(D3:D12)</f>
        <v>15.25</v>
      </c>
      <c r="L28">
        <f t="shared" si="12"/>
        <v>15.560000000000002</v>
      </c>
      <c r="M28">
        <f t="shared" si="12"/>
        <v>15.12</v>
      </c>
      <c r="N28">
        <f>AVERAGE(G3:G12)</f>
        <v>15.5</v>
      </c>
    </row>
    <row r="29" spans="1:21" ht="15" thickBot="1" x14ac:dyDescent="0.3">
      <c r="A29" s="12" t="s">
        <v>131</v>
      </c>
      <c r="B29" s="12" t="s">
        <v>132</v>
      </c>
      <c r="C29" s="12" t="s">
        <v>133</v>
      </c>
      <c r="D29" s="12" t="s">
        <v>134</v>
      </c>
      <c r="E29" s="13" t="s">
        <v>135</v>
      </c>
      <c r="F29" s="14" t="s">
        <v>136</v>
      </c>
      <c r="G29" s="12" t="s">
        <v>137</v>
      </c>
      <c r="I29">
        <v>14.145</v>
      </c>
      <c r="J29">
        <v>14.145</v>
      </c>
      <c r="K29">
        <v>15.405000000000001</v>
      </c>
      <c r="L29">
        <v>15.405000000000001</v>
      </c>
      <c r="M29">
        <v>15.309999999999999</v>
      </c>
      <c r="N29">
        <v>15.309999999999999</v>
      </c>
      <c r="P29" s="11"/>
      <c r="Q29" s="11"/>
      <c r="R29" s="11"/>
      <c r="S29" s="11"/>
      <c r="T29" s="11"/>
      <c r="U29" s="11"/>
    </row>
    <row r="30" spans="1:21" x14ac:dyDescent="0.25">
      <c r="A30" s="15" t="s">
        <v>147</v>
      </c>
      <c r="B30" s="16">
        <f>3*(2-1)</f>
        <v>3</v>
      </c>
      <c r="C30" s="16">
        <f>SUMSQ(I30:N30)*10</f>
        <v>2.8269999999999813</v>
      </c>
      <c r="D30" s="16">
        <f>C30/3</f>
        <v>0.94233333333332714</v>
      </c>
      <c r="E30" s="16">
        <f>D30/D34</f>
        <v>11.000000000036298</v>
      </c>
      <c r="F30" s="18">
        <f>FDIST(E30,B30,B34)</f>
        <v>6.7567169735527403E-5</v>
      </c>
      <c r="G30" s="16">
        <f>(D30-D34)/10</f>
        <v>8.5666666666694369E-2</v>
      </c>
      <c r="I30">
        <f>I28-I29</f>
        <v>-0.28499999999999659</v>
      </c>
      <c r="J30">
        <f t="shared" ref="J30:N30" si="13">J28-J29</f>
        <v>0.28499999999999837</v>
      </c>
      <c r="K30">
        <f t="shared" si="13"/>
        <v>-0.15500000000000114</v>
      </c>
      <c r="L30">
        <f t="shared" si="13"/>
        <v>0.15500000000000114</v>
      </c>
      <c r="M30">
        <f t="shared" si="13"/>
        <v>-0.1899999999999995</v>
      </c>
      <c r="N30">
        <f t="shared" si="13"/>
        <v>0.19000000000000128</v>
      </c>
      <c r="O30">
        <f>SUMSQ(I30:N30)*10</f>
        <v>2.8269999999999813</v>
      </c>
      <c r="P30" s="11"/>
      <c r="Q30" s="11"/>
      <c r="R30" s="11"/>
      <c r="S30" s="11"/>
      <c r="T30" s="11"/>
      <c r="U30" s="11"/>
    </row>
    <row r="31" spans="1:21" x14ac:dyDescent="0.25">
      <c r="A31" s="15" t="s">
        <v>138</v>
      </c>
      <c r="B31" s="16">
        <f>10-1</f>
        <v>9</v>
      </c>
      <c r="C31" s="16">
        <f>C16</f>
        <v>31.426000000000009</v>
      </c>
      <c r="D31" s="16">
        <f>C31/B31</f>
        <v>3.491777777777779</v>
      </c>
      <c r="E31" s="16">
        <f>D31/D34</f>
        <v>40.760051880809229</v>
      </c>
      <c r="F31" s="18">
        <f>FDIST(E31,B31,B34)</f>
        <v>2.033904772389896E-13</v>
      </c>
      <c r="G31" s="16">
        <f>(D31-D34)/3/2</f>
        <v>0.56768518518523259</v>
      </c>
      <c r="I31" s="16"/>
      <c r="J31" s="16"/>
      <c r="K31" s="16"/>
      <c r="L31" s="16"/>
      <c r="M31" s="16"/>
      <c r="N31" s="16"/>
      <c r="O31" s="16"/>
      <c r="P31" s="11"/>
      <c r="Q31" s="11"/>
      <c r="R31" s="11"/>
      <c r="S31" s="11"/>
      <c r="T31" s="11"/>
      <c r="U31" s="11"/>
    </row>
    <row r="32" spans="1:21" x14ac:dyDescent="0.25">
      <c r="A32" s="15" t="s">
        <v>139</v>
      </c>
      <c r="B32" s="16">
        <f>3-1</f>
        <v>2</v>
      </c>
      <c r="C32" s="16">
        <f>C17</f>
        <v>19.692333333333348</v>
      </c>
      <c r="D32" s="16">
        <f>C32/B32</f>
        <v>9.8461666666666741</v>
      </c>
      <c r="E32" s="16">
        <f>D32/D34</f>
        <v>114.93579766574976</v>
      </c>
      <c r="F32" s="18">
        <f>FDIST(E32,B32,B34)</f>
        <v>6.1978876027487125E-14</v>
      </c>
      <c r="G32" s="16">
        <f>(D32-D34)/10/2</f>
        <v>0.48802500000001447</v>
      </c>
      <c r="I32" s="11"/>
      <c r="J32" s="11"/>
      <c r="K32" s="11"/>
      <c r="L32" s="11"/>
      <c r="M32" s="11"/>
      <c r="N32" s="11"/>
      <c r="P32" s="11"/>
      <c r="Q32" s="11"/>
      <c r="R32" s="11"/>
      <c r="S32" s="11"/>
      <c r="T32" s="11"/>
      <c r="U32" s="11"/>
    </row>
    <row r="33" spans="1:21" x14ac:dyDescent="0.25">
      <c r="A33" s="15" t="s">
        <v>140</v>
      </c>
      <c r="B33" s="16">
        <f>B31*B32</f>
        <v>18</v>
      </c>
      <c r="C33" s="16">
        <f>C18</f>
        <v>16.731000000000012</v>
      </c>
      <c r="D33" s="16">
        <f>C33/B33</f>
        <v>0.92950000000000066</v>
      </c>
      <c r="E33" s="16">
        <f>D33/D34</f>
        <v>10.850194552565066</v>
      </c>
      <c r="F33" s="18">
        <f>FDIST(E33,B33,B34)</f>
        <v>4.2833696752978244E-8</v>
      </c>
      <c r="G33" s="16">
        <f>(D33-D34)/2</f>
        <v>0.4219166666668086</v>
      </c>
      <c r="P33" s="11"/>
      <c r="Q33" s="11"/>
      <c r="R33" s="11"/>
      <c r="S33" s="11"/>
      <c r="T33" s="11"/>
      <c r="U33" s="11"/>
    </row>
    <row r="34" spans="1:21" x14ac:dyDescent="0.25">
      <c r="A34" s="15" t="s">
        <v>141</v>
      </c>
      <c r="B34" s="16">
        <f>(10-1)*3*(2-1)</f>
        <v>27</v>
      </c>
      <c r="C34" s="17">
        <f>C19-C30</f>
        <v>2.3129999999923525</v>
      </c>
      <c r="D34" s="16">
        <f>C34/B34</f>
        <v>8.5666666666383423E-2</v>
      </c>
      <c r="E34" s="19"/>
      <c r="F34" s="18"/>
      <c r="G34" s="16">
        <f>D34</f>
        <v>8.5666666666383423E-2</v>
      </c>
      <c r="P34" s="11"/>
      <c r="Q34" s="11"/>
      <c r="R34" s="11"/>
      <c r="S34" s="11"/>
      <c r="T34" s="11"/>
      <c r="U34" s="11"/>
    </row>
    <row r="35" spans="1:21" ht="15" thickBot="1" x14ac:dyDescent="0.3">
      <c r="A35" s="20" t="s">
        <v>142</v>
      </c>
      <c r="B35" s="21">
        <f>10*3*2-1</f>
        <v>59</v>
      </c>
      <c r="C35" s="21">
        <f>C20</f>
        <v>72.989333333325703</v>
      </c>
      <c r="D35" s="22"/>
      <c r="E35" s="22"/>
      <c r="F35" s="23"/>
      <c r="G35" s="22"/>
      <c r="P35" s="11"/>
      <c r="Q35" s="11"/>
      <c r="R35" s="11"/>
      <c r="S35" s="11"/>
      <c r="T35" s="11"/>
      <c r="U35" s="11"/>
    </row>
    <row r="36" spans="1:21" x14ac:dyDescent="0.25">
      <c r="P36" s="11"/>
      <c r="Q36" s="11"/>
      <c r="R36" s="11"/>
      <c r="S36" s="11"/>
      <c r="T36" s="11"/>
      <c r="U36" s="11"/>
    </row>
    <row r="37" spans="1:21" x14ac:dyDescent="0.25">
      <c r="A37" s="24" t="s">
        <v>148</v>
      </c>
      <c r="B37">
        <f>G31/(G31+G33+G34)</f>
        <v>0.52794736887435934</v>
      </c>
      <c r="P37" s="11"/>
      <c r="Q37" s="11"/>
      <c r="R37" s="11"/>
      <c r="S37" s="11"/>
      <c r="T37" s="11"/>
      <c r="U37" s="11"/>
    </row>
    <row r="38" spans="1:21" x14ac:dyDescent="0.25">
      <c r="A38" s="24" t="s">
        <v>143</v>
      </c>
      <c r="B38">
        <f>G31/(G31+G33/3+G34/6)</f>
        <v>0.78561269076512463</v>
      </c>
      <c r="P38" s="11"/>
      <c r="Q38" s="11"/>
      <c r="R38" s="11"/>
      <c r="S38" s="11"/>
      <c r="T38" s="11"/>
      <c r="U38" s="11"/>
    </row>
    <row r="39" spans="1:21" x14ac:dyDescent="0.25">
      <c r="A39" s="24" t="s">
        <v>144</v>
      </c>
      <c r="B39">
        <f>_xlfn.T.INV.2T(0.05,B34)</f>
        <v>2.0518305164802859</v>
      </c>
    </row>
    <row r="40" spans="1:21" x14ac:dyDescent="0.25">
      <c r="A40" s="24" t="s">
        <v>145</v>
      </c>
      <c r="B40">
        <f>B39*SQRT(2*D34/6)</f>
        <v>0.34672630518495262</v>
      </c>
    </row>
    <row r="41" spans="1:21" x14ac:dyDescent="0.25">
      <c r="B41">
        <f>B39*SQRT(2*D33/6)</f>
        <v>1.1421037418349813</v>
      </c>
    </row>
    <row r="43" spans="1:21" x14ac:dyDescent="0.25">
      <c r="A43" s="25" t="s">
        <v>149</v>
      </c>
      <c r="B43" t="s">
        <v>150</v>
      </c>
      <c r="C43" t="s">
        <v>151</v>
      </c>
      <c r="D43" t="s">
        <v>152</v>
      </c>
      <c r="E43" t="s">
        <v>153</v>
      </c>
      <c r="F43" t="s">
        <v>154</v>
      </c>
      <c r="G43" t="s">
        <v>155</v>
      </c>
    </row>
    <row r="44" spans="1:21" x14ac:dyDescent="0.25">
      <c r="A44" t="s">
        <v>120</v>
      </c>
      <c r="B44" s="4">
        <v>15.2</v>
      </c>
      <c r="C44" s="4">
        <v>14.65</v>
      </c>
      <c r="D44" s="4">
        <v>14.5</v>
      </c>
      <c r="E44" s="4">
        <f t="shared" ref="E44:E53" si="14">AVERAGE(B44:D44)</f>
        <v>14.783333333333333</v>
      </c>
      <c r="F44" s="4">
        <f>E44-E$12</f>
        <v>-0.71666666666666679</v>
      </c>
      <c r="G44">
        <f t="shared" ref="G44:G53" si="15">SLOPE(B44:D44,$B$12:$D$12)</f>
        <v>-0.37909836065573749</v>
      </c>
      <c r="I44" s="4"/>
      <c r="J44" s="4"/>
    </row>
    <row r="45" spans="1:21" x14ac:dyDescent="0.25">
      <c r="A45" t="s">
        <v>121</v>
      </c>
      <c r="B45" s="4">
        <v>14.75</v>
      </c>
      <c r="C45" s="4">
        <v>16</v>
      </c>
      <c r="D45" s="4">
        <v>15.75</v>
      </c>
      <c r="E45" s="4">
        <f t="shared" si="14"/>
        <v>15.5</v>
      </c>
      <c r="F45" s="4">
        <f t="shared" ref="F45:F52" si="16">E45-E$12</f>
        <v>0</v>
      </c>
      <c r="G45">
        <f t="shared" si="15"/>
        <v>0.52254098360655754</v>
      </c>
      <c r="I45" s="4"/>
      <c r="J45" s="4"/>
    </row>
    <row r="46" spans="1:21" x14ac:dyDescent="0.25">
      <c r="A46" t="s">
        <v>122</v>
      </c>
      <c r="B46" s="4">
        <v>14.45</v>
      </c>
      <c r="C46" s="4">
        <v>15.65</v>
      </c>
      <c r="D46" s="4">
        <v>15.85</v>
      </c>
      <c r="E46" s="4">
        <f t="shared" si="14"/>
        <v>15.316666666666668</v>
      </c>
      <c r="F46" s="4">
        <f t="shared" si="16"/>
        <v>-0.18333333333333179</v>
      </c>
      <c r="G46">
        <f t="shared" si="15"/>
        <v>0.75409836065573832</v>
      </c>
      <c r="I46" s="4"/>
      <c r="J46" s="4"/>
    </row>
    <row r="47" spans="1:21" x14ac:dyDescent="0.25">
      <c r="A47" t="s">
        <v>123</v>
      </c>
      <c r="B47" s="4">
        <v>13.6</v>
      </c>
      <c r="C47" s="4">
        <v>15.25</v>
      </c>
      <c r="D47" s="4">
        <v>16.399999999999999</v>
      </c>
      <c r="E47" s="4">
        <f t="shared" si="14"/>
        <v>15.083333333333334</v>
      </c>
      <c r="F47" s="4">
        <f t="shared" si="16"/>
        <v>-0.41666666666666607</v>
      </c>
      <c r="G47">
        <f t="shared" si="15"/>
        <v>1.5389344262295084</v>
      </c>
      <c r="I47" s="4"/>
      <c r="J47" s="4"/>
    </row>
    <row r="48" spans="1:21" x14ac:dyDescent="0.25">
      <c r="A48" t="s">
        <v>124</v>
      </c>
      <c r="B48" s="4">
        <v>15.65</v>
      </c>
      <c r="C48" s="4">
        <v>15.5</v>
      </c>
      <c r="D48" s="4">
        <v>16.649999999999999</v>
      </c>
      <c r="E48" s="4">
        <f t="shared" si="14"/>
        <v>15.933333333333332</v>
      </c>
      <c r="F48" s="4">
        <f t="shared" si="16"/>
        <v>0.43333333333333179</v>
      </c>
      <c r="G48">
        <f t="shared" si="15"/>
        <v>0.5799180327868847</v>
      </c>
      <c r="I48" s="4"/>
      <c r="J48" s="4"/>
    </row>
    <row r="49" spans="1:10" x14ac:dyDescent="0.25">
      <c r="A49" t="s">
        <v>125</v>
      </c>
      <c r="B49" s="4">
        <v>15.55</v>
      </c>
      <c r="C49" s="4">
        <v>16.5</v>
      </c>
      <c r="D49" s="26">
        <v>16.399999999999999</v>
      </c>
      <c r="E49" s="4">
        <f t="shared" si="14"/>
        <v>16.149999999999999</v>
      </c>
      <c r="F49" s="26">
        <f t="shared" si="16"/>
        <v>0.64999999999999858</v>
      </c>
      <c r="G49">
        <f t="shared" si="15"/>
        <v>0.44877049180327766</v>
      </c>
      <c r="I49" s="4"/>
      <c r="J49" s="4"/>
    </row>
    <row r="50" spans="1:10" x14ac:dyDescent="0.25">
      <c r="A50" t="s">
        <v>126</v>
      </c>
      <c r="B50" s="4">
        <v>13.65</v>
      </c>
      <c r="C50" s="4">
        <v>14.3</v>
      </c>
      <c r="D50" s="4">
        <v>14.6</v>
      </c>
      <c r="E50" s="4">
        <f t="shared" si="14"/>
        <v>14.183333333333335</v>
      </c>
      <c r="F50" s="4">
        <f>E50-E$12</f>
        <v>-1.3166666666666647</v>
      </c>
      <c r="G50">
        <f t="shared" si="15"/>
        <v>0.51844262295081955</v>
      </c>
      <c r="I50" s="4"/>
      <c r="J50" s="4"/>
    </row>
    <row r="51" spans="1:10" x14ac:dyDescent="0.25">
      <c r="A51" t="s">
        <v>127</v>
      </c>
      <c r="B51" s="4">
        <v>12.25</v>
      </c>
      <c r="C51" s="4">
        <v>15.65</v>
      </c>
      <c r="D51" s="4">
        <v>14.3</v>
      </c>
      <c r="E51" s="4">
        <f t="shared" si="14"/>
        <v>14.066666666666668</v>
      </c>
      <c r="F51" s="4">
        <f>E51-E$12</f>
        <v>-1.4333333333333318</v>
      </c>
      <c r="G51">
        <f t="shared" si="15"/>
        <v>1.0368852459016398</v>
      </c>
      <c r="I51" s="4"/>
      <c r="J51" s="4"/>
    </row>
    <row r="52" spans="1:10" x14ac:dyDescent="0.25">
      <c r="A52" t="s">
        <v>128</v>
      </c>
      <c r="B52" s="4">
        <v>13.15</v>
      </c>
      <c r="C52" s="4">
        <v>15.4</v>
      </c>
      <c r="D52" s="4">
        <v>14.55</v>
      </c>
      <c r="E52" s="4">
        <f t="shared" si="14"/>
        <v>14.366666666666667</v>
      </c>
      <c r="F52" s="4">
        <f t="shared" si="16"/>
        <v>-1.1333333333333329</v>
      </c>
      <c r="G52">
        <f t="shared" si="15"/>
        <v>0.71106557377049207</v>
      </c>
      <c r="I52" s="4"/>
      <c r="J52" s="4"/>
    </row>
    <row r="53" spans="1:10" x14ac:dyDescent="0.25">
      <c r="A53" t="s">
        <v>129</v>
      </c>
      <c r="B53" s="4">
        <v>13.2</v>
      </c>
      <c r="C53" s="4">
        <v>14.2</v>
      </c>
      <c r="D53" s="4">
        <v>15.05</v>
      </c>
      <c r="E53" s="4">
        <f t="shared" si="14"/>
        <v>14.15</v>
      </c>
      <c r="F53" s="4">
        <f>E53-E$12</f>
        <v>-1.3499999999999996</v>
      </c>
      <c r="G53">
        <f t="shared" si="15"/>
        <v>1.0204918032786898</v>
      </c>
      <c r="I53" s="4"/>
      <c r="J53" s="4"/>
    </row>
    <row r="54" spans="1:10" x14ac:dyDescent="0.25">
      <c r="A54" t="s">
        <v>157</v>
      </c>
      <c r="B54" s="4">
        <f>AVERAGE(B44:B53)</f>
        <v>14.145</v>
      </c>
      <c r="C54" s="4">
        <f t="shared" ref="C54" si="17">AVERAGE(C44:C53)</f>
        <v>15.309999999999999</v>
      </c>
      <c r="D54" s="4">
        <f>AVERAGE(D44:D53)</f>
        <v>15.405000000000001</v>
      </c>
      <c r="E54" s="4">
        <f>AVERAGE(B44:D53)</f>
        <v>14.953333333333331</v>
      </c>
      <c r="F54" s="4"/>
    </row>
    <row r="55" spans="1:10" x14ac:dyDescent="0.25">
      <c r="A55" t="s">
        <v>158</v>
      </c>
      <c r="B55" s="4">
        <f>B54-$E54</f>
        <v>-0.80833333333333179</v>
      </c>
      <c r="C55" s="4">
        <f>C54-$E54</f>
        <v>0.35666666666666735</v>
      </c>
      <c r="D55" s="26">
        <f>D54-$E54</f>
        <v>0.45166666666666977</v>
      </c>
      <c r="E55" s="4"/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 sizeWithCells="1">
              <from>
                <xdr:col>7</xdr:col>
                <xdr:colOff>0</xdr:colOff>
                <xdr:row>15</xdr:row>
                <xdr:rowOff>0</xdr:rowOff>
              </from>
              <to>
                <xdr:col>7</xdr:col>
                <xdr:colOff>518160</xdr:colOff>
                <xdr:row>16</xdr:row>
                <xdr:rowOff>0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7">
            <anchor moveWithCells="1" sizeWithCells="1">
              <from>
                <xdr:col>7</xdr:col>
                <xdr:colOff>0</xdr:colOff>
                <xdr:row>16</xdr:row>
                <xdr:rowOff>0</xdr:rowOff>
              </from>
              <to>
                <xdr:col>7</xdr:col>
                <xdr:colOff>472440</xdr:colOff>
                <xdr:row>17</xdr:row>
                <xdr:rowOff>0</xdr:rowOff>
              </to>
            </anchor>
          </objectPr>
        </oleObject>
      </mc:Choice>
      <mc:Fallback>
        <oleObject progId="Equation.3" shapeId="4098" r:id="rId6"/>
      </mc:Fallback>
    </mc:AlternateContent>
    <mc:AlternateContent xmlns:mc="http://schemas.openxmlformats.org/markup-compatibility/2006">
      <mc:Choice Requires="x14">
        <oleObject progId="Equation.3" shapeId="4099" r:id="rId8">
          <objectPr defaultSize="0" autoPict="0" r:id="rId9">
            <anchor moveWithCells="1" sizeWithCells="1">
              <from>
                <xdr:col>7</xdr:col>
                <xdr:colOff>0</xdr:colOff>
                <xdr:row>17</xdr:row>
                <xdr:rowOff>0</xdr:rowOff>
              </from>
              <to>
                <xdr:col>7</xdr:col>
                <xdr:colOff>449580</xdr:colOff>
                <xdr:row>18</xdr:row>
                <xdr:rowOff>0</xdr:rowOff>
              </to>
            </anchor>
          </objectPr>
        </oleObject>
      </mc:Choice>
      <mc:Fallback>
        <oleObject progId="Equation.3" shapeId="4099" r:id="rId8"/>
      </mc:Fallback>
    </mc:AlternateContent>
    <mc:AlternateContent xmlns:mc="http://schemas.openxmlformats.org/markup-compatibility/2006">
      <mc:Choice Requires="x14">
        <oleObject progId="Equation.3" shapeId="4100" r:id="rId10">
          <objectPr defaultSize="0" autoPict="0" r:id="rId11">
            <anchor moveWithCells="1" sizeWithCells="1">
              <from>
                <xdr:col>7</xdr:col>
                <xdr:colOff>0</xdr:colOff>
                <xdr:row>18</xdr:row>
                <xdr:rowOff>0</xdr:rowOff>
              </from>
              <to>
                <xdr:col>7</xdr:col>
                <xdr:colOff>137160</xdr:colOff>
                <xdr:row>19</xdr:row>
                <xdr:rowOff>0</xdr:rowOff>
              </to>
            </anchor>
          </objectPr>
        </oleObject>
      </mc:Choice>
      <mc:Fallback>
        <oleObject progId="Equation.3" shapeId="4100" r:id="rId10"/>
      </mc:Fallback>
    </mc:AlternateContent>
    <mc:AlternateContent xmlns:mc="http://schemas.openxmlformats.org/markup-compatibility/2006">
      <mc:Choice Requires="x14">
        <oleObject progId="Equation.3" shapeId="4101" r:id="rId12">
          <objectPr defaultSize="0" autoPict="0" r:id="rId13">
            <anchor moveWithCells="1" sizeWithCells="1">
              <from>
                <xdr:col>2</xdr:col>
                <xdr:colOff>53340</xdr:colOff>
                <xdr:row>19</xdr:row>
                <xdr:rowOff>175260</xdr:rowOff>
              </from>
              <to>
                <xdr:col>4</xdr:col>
                <xdr:colOff>144780</xdr:colOff>
                <xdr:row>22</xdr:row>
                <xdr:rowOff>91440</xdr:rowOff>
              </to>
            </anchor>
          </objectPr>
        </oleObject>
      </mc:Choice>
      <mc:Fallback>
        <oleObject progId="Equation.3" shapeId="4101" r:id="rId12"/>
      </mc:Fallback>
    </mc:AlternateContent>
    <mc:AlternateContent xmlns:mc="http://schemas.openxmlformats.org/markup-compatibility/2006">
      <mc:Choice Requires="x14">
        <oleObject progId="Equation.3" shapeId="4102" r:id="rId14">
          <objectPr defaultSize="0" autoPict="0" r:id="rId15">
            <anchor moveWithCells="1" sizeWithCells="1">
              <from>
                <xdr:col>4</xdr:col>
                <xdr:colOff>327660</xdr:colOff>
                <xdr:row>20</xdr:row>
                <xdr:rowOff>0</xdr:rowOff>
              </from>
              <to>
                <xdr:col>7</xdr:col>
                <xdr:colOff>449580</xdr:colOff>
                <xdr:row>23</xdr:row>
                <xdr:rowOff>83820</xdr:rowOff>
              </to>
            </anchor>
          </objectPr>
        </oleObject>
      </mc:Choice>
      <mc:Fallback>
        <oleObject progId="Equation.3" shapeId="4102" r:id="rId14"/>
      </mc:Fallback>
    </mc:AlternateContent>
    <mc:AlternateContent xmlns:mc="http://schemas.openxmlformats.org/markup-compatibility/2006">
      <mc:Choice Requires="x14">
        <oleObject progId="Equation.3" shapeId="4103" r:id="rId16">
          <objectPr defaultSize="0" autoPict="0" r:id="rId17">
            <anchor moveWithCells="1" sizeWithCells="1">
              <from>
                <xdr:col>2</xdr:col>
                <xdr:colOff>518160</xdr:colOff>
                <xdr:row>23</xdr:row>
                <xdr:rowOff>7620</xdr:rowOff>
              </from>
              <to>
                <xdr:col>4</xdr:col>
                <xdr:colOff>518160</xdr:colOff>
                <xdr:row>24</xdr:row>
                <xdr:rowOff>106680</xdr:rowOff>
              </to>
            </anchor>
          </objectPr>
        </oleObject>
      </mc:Choice>
      <mc:Fallback>
        <oleObject progId="Equation.3" shapeId="4103" r:id="rId16"/>
      </mc:Fallback>
    </mc:AlternateContent>
    <mc:AlternateContent xmlns:mc="http://schemas.openxmlformats.org/markup-compatibility/2006">
      <mc:Choice Requires="x14">
        <oleObject progId="Equation.3" shapeId="4105" r:id="rId18">
          <objectPr defaultSize="0" autoPict="0" r:id="rId19">
            <anchor moveWithCells="1" sizeWithCells="1">
              <from>
                <xdr:col>7</xdr:col>
                <xdr:colOff>853440</xdr:colOff>
                <xdr:row>25</xdr:row>
                <xdr:rowOff>0</xdr:rowOff>
              </from>
              <to>
                <xdr:col>9</xdr:col>
                <xdr:colOff>381000</xdr:colOff>
                <xdr:row>26</xdr:row>
                <xdr:rowOff>68580</xdr:rowOff>
              </to>
            </anchor>
          </objectPr>
        </oleObject>
      </mc:Choice>
      <mc:Fallback>
        <oleObject progId="Equation.3" shapeId="4105" r:id="rId18"/>
      </mc:Fallback>
    </mc:AlternateContent>
    <mc:AlternateContent xmlns:mc="http://schemas.openxmlformats.org/markup-compatibility/2006">
      <mc:Choice Requires="x14">
        <oleObject progId="Equation.3" shapeId="4106" r:id="rId20">
          <objectPr defaultSize="0" autoPict="0" r:id="rId21">
            <anchor moveWithCells="1" sizeWithCells="1">
              <from>
                <xdr:col>7</xdr:col>
                <xdr:colOff>0</xdr:colOff>
                <xdr:row>29</xdr:row>
                <xdr:rowOff>0</xdr:rowOff>
              </from>
              <to>
                <xdr:col>7</xdr:col>
                <xdr:colOff>487680</xdr:colOff>
                <xdr:row>30</xdr:row>
                <xdr:rowOff>0</xdr:rowOff>
              </to>
            </anchor>
          </objectPr>
        </oleObject>
      </mc:Choice>
      <mc:Fallback>
        <oleObject progId="Equation.3" shapeId="4106" r:id="rId20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5" workbookViewId="0">
      <selection activeCell="M13" sqref="M13"/>
    </sheetView>
  </sheetViews>
  <sheetFormatPr defaultRowHeight="14.4" x14ac:dyDescent="0.25"/>
  <cols>
    <col min="9" max="11" width="9.5546875" bestFit="1" customWidth="1"/>
  </cols>
  <sheetData>
    <row r="1" spans="1:14" x14ac:dyDescent="0.25">
      <c r="A1" s="25" t="s">
        <v>172</v>
      </c>
      <c r="B1" t="s">
        <v>150</v>
      </c>
      <c r="C1" t="s">
        <v>169</v>
      </c>
      <c r="D1" t="s">
        <v>152</v>
      </c>
      <c r="E1" t="s">
        <v>170</v>
      </c>
      <c r="F1" t="s">
        <v>171</v>
      </c>
      <c r="G1" t="s">
        <v>155</v>
      </c>
      <c r="H1" t="s">
        <v>156</v>
      </c>
      <c r="I1" t="s">
        <v>150</v>
      </c>
      <c r="J1" t="s">
        <v>169</v>
      </c>
      <c r="K1" t="s">
        <v>152</v>
      </c>
    </row>
    <row r="2" spans="1:14" x14ac:dyDescent="0.25">
      <c r="A2" t="s">
        <v>120</v>
      </c>
      <c r="B2" s="4">
        <v>15.2</v>
      </c>
      <c r="C2" s="4">
        <v>14.65</v>
      </c>
      <c r="D2" s="4">
        <v>14.5</v>
      </c>
      <c r="E2" s="4">
        <f t="shared" ref="E2:E11" si="0">AVERAGE(B2:D2)</f>
        <v>14.783333333333333</v>
      </c>
      <c r="F2" s="4">
        <f>E2-E$12</f>
        <v>-0.16999999999999815</v>
      </c>
      <c r="G2">
        <f>SLOPE(B2:D2,$B$12:$D$12)</f>
        <v>-0.52033786414340533</v>
      </c>
      <c r="H2" t="s">
        <v>120</v>
      </c>
      <c r="I2" s="4">
        <f>B2-$E$12-$F2-B$13</f>
        <v>1.2249999999999979</v>
      </c>
      <c r="J2" s="4">
        <f t="shared" ref="J2:J11" si="1">D2-$E$12-$F2-D$13</f>
        <v>-0.73500000000000298</v>
      </c>
      <c r="K2" s="4">
        <f t="shared" ref="K2:K11" si="2">C2-$E$12-$F2-C$13</f>
        <v>-0.49000000000000021</v>
      </c>
    </row>
    <row r="3" spans="1:14" x14ac:dyDescent="0.25">
      <c r="A3" t="s">
        <v>121</v>
      </c>
      <c r="B3" s="4">
        <v>14.75</v>
      </c>
      <c r="C3" s="4">
        <v>16</v>
      </c>
      <c r="D3" s="4">
        <v>15.75</v>
      </c>
      <c r="E3" s="4">
        <f t="shared" si="0"/>
        <v>15.5</v>
      </c>
      <c r="F3" s="4">
        <f t="shared" ref="F3:F10" si="3">E3-E$12</f>
        <v>0.54666666666666863</v>
      </c>
      <c r="G3">
        <f>SLOPE(B3:D3,$B$12:$D$12)</f>
        <v>0.91152225062206871</v>
      </c>
      <c r="H3" t="s">
        <v>121</v>
      </c>
      <c r="I3" s="4">
        <f t="shared" ref="I3:I12" si="4">B3-$E$12-$F3-B$13</f>
        <v>5.8333333333331794E-2</v>
      </c>
      <c r="J3" s="4">
        <f t="shared" si="1"/>
        <v>-0.20166666666666977</v>
      </c>
      <c r="K3" s="4">
        <f t="shared" si="2"/>
        <v>0.14333333333333265</v>
      </c>
    </row>
    <row r="4" spans="1:14" x14ac:dyDescent="0.25">
      <c r="A4" t="s">
        <v>122</v>
      </c>
      <c r="B4" s="4">
        <v>14.45</v>
      </c>
      <c r="C4" s="4">
        <v>15.65</v>
      </c>
      <c r="D4" s="4">
        <v>15.85</v>
      </c>
      <c r="E4" s="4">
        <f t="shared" si="0"/>
        <v>15.316666666666668</v>
      </c>
      <c r="F4" s="4">
        <f t="shared" si="3"/>
        <v>0.36333333333333684</v>
      </c>
      <c r="G4">
        <f t="shared" ref="G3:G12" si="5">SLOPE(B4:D4,$B$12:$D$12)</f>
        <v>1.0768996394535948</v>
      </c>
      <c r="H4" t="s">
        <v>122</v>
      </c>
      <c r="I4" s="4">
        <f t="shared" si="4"/>
        <v>-5.8333333333337123E-2</v>
      </c>
      <c r="J4" s="4">
        <f t="shared" si="1"/>
        <v>8.1666666666661669E-2</v>
      </c>
      <c r="K4" s="4">
        <f t="shared" si="2"/>
        <v>-2.3333333333335204E-2</v>
      </c>
    </row>
    <row r="5" spans="1:14" x14ac:dyDescent="0.25">
      <c r="A5" t="s">
        <v>123</v>
      </c>
      <c r="B5" s="4">
        <v>13.6</v>
      </c>
      <c r="C5" s="4">
        <v>15.25</v>
      </c>
      <c r="D5" s="4">
        <v>16.399999999999999</v>
      </c>
      <c r="E5" s="4">
        <f t="shared" si="0"/>
        <v>15.083333333333334</v>
      </c>
      <c r="F5" s="4">
        <f t="shared" si="3"/>
        <v>0.13000000000000256</v>
      </c>
      <c r="G5">
        <f t="shared" si="5"/>
        <v>1.8821199451563213</v>
      </c>
      <c r="H5" t="s">
        <v>123</v>
      </c>
      <c r="I5" s="4">
        <f t="shared" si="4"/>
        <v>-0.67500000000000249</v>
      </c>
      <c r="J5" s="4">
        <f t="shared" si="1"/>
        <v>0.86499999999999488</v>
      </c>
      <c r="K5" s="4">
        <f t="shared" si="2"/>
        <v>-0.19000000000000128</v>
      </c>
    </row>
    <row r="6" spans="1:14" x14ac:dyDescent="0.25">
      <c r="A6" t="s">
        <v>124</v>
      </c>
      <c r="B6" s="4">
        <v>15.65</v>
      </c>
      <c r="C6" s="4">
        <v>15.5</v>
      </c>
      <c r="D6" s="4">
        <v>16.649999999999999</v>
      </c>
      <c r="E6" s="4">
        <f t="shared" si="0"/>
        <v>15.933333333333332</v>
      </c>
      <c r="F6" s="4">
        <f t="shared" si="3"/>
        <v>0.98000000000000043</v>
      </c>
      <c r="G6">
        <f t="shared" si="5"/>
        <v>0.40438749428711707</v>
      </c>
      <c r="H6" t="s">
        <v>124</v>
      </c>
      <c r="I6" s="4">
        <f t="shared" si="4"/>
        <v>0.52500000000000036</v>
      </c>
      <c r="J6" s="4">
        <f t="shared" si="1"/>
        <v>0.26499999999999702</v>
      </c>
      <c r="K6" s="4">
        <f t="shared" si="2"/>
        <v>-0.78999999999999915</v>
      </c>
    </row>
    <row r="7" spans="1:14" x14ac:dyDescent="0.25">
      <c r="A7" t="s">
        <v>125</v>
      </c>
      <c r="B7" s="4">
        <v>15.55</v>
      </c>
      <c r="C7" s="4">
        <v>16.5</v>
      </c>
      <c r="D7" s="26">
        <v>16.399999999999999</v>
      </c>
      <c r="E7" s="4">
        <f t="shared" si="0"/>
        <v>16.149999999999999</v>
      </c>
      <c r="F7" s="26">
        <f t="shared" si="3"/>
        <v>1.1966666666666672</v>
      </c>
      <c r="G7">
        <f t="shared" si="5"/>
        <v>0.73404201296612726</v>
      </c>
      <c r="H7" t="s">
        <v>125</v>
      </c>
      <c r="I7" s="4">
        <f t="shared" si="4"/>
        <v>0.20833333333333393</v>
      </c>
      <c r="J7" s="4">
        <f t="shared" si="1"/>
        <v>-0.20166666666666977</v>
      </c>
      <c r="K7" s="4">
        <f t="shared" si="2"/>
        <v>-6.6666666666659324E-3</v>
      </c>
    </row>
    <row r="8" spans="1:14" x14ac:dyDescent="0.25">
      <c r="A8" t="s">
        <v>126</v>
      </c>
      <c r="B8" s="4">
        <v>13.65</v>
      </c>
      <c r="C8" s="4">
        <v>14.3</v>
      </c>
      <c r="D8" s="4">
        <v>14.6</v>
      </c>
      <c r="E8" s="4">
        <f t="shared" si="0"/>
        <v>14.183333333333335</v>
      </c>
      <c r="F8" s="4">
        <f>E8-E$12</f>
        <v>-0.76999999999999602</v>
      </c>
      <c r="G8">
        <f t="shared" si="5"/>
        <v>0.67124261556951081</v>
      </c>
      <c r="H8" t="s">
        <v>126</v>
      </c>
      <c r="I8" s="4">
        <f t="shared" si="4"/>
        <v>0.2749999999999968</v>
      </c>
      <c r="J8" s="4">
        <f t="shared" si="1"/>
        <v>-3.5000000000005471E-2</v>
      </c>
      <c r="K8" s="4">
        <f t="shared" si="2"/>
        <v>-0.24000000000000199</v>
      </c>
    </row>
    <row r="9" spans="1:14" x14ac:dyDescent="0.25">
      <c r="A9" t="s">
        <v>127</v>
      </c>
      <c r="B9" s="4">
        <v>12.25</v>
      </c>
      <c r="C9" s="4">
        <v>15.65</v>
      </c>
      <c r="D9" s="4">
        <v>14.3</v>
      </c>
      <c r="E9" s="4">
        <f t="shared" si="0"/>
        <v>14.066666666666668</v>
      </c>
      <c r="F9" s="4">
        <f>E9-E$12</f>
        <v>-0.88666666666666316</v>
      </c>
      <c r="G9">
        <f t="shared" si="5"/>
        <v>2.1719958697970418</v>
      </c>
      <c r="H9" t="s">
        <v>127</v>
      </c>
      <c r="I9" s="4">
        <f t="shared" si="4"/>
        <v>-1.0083333333333364</v>
      </c>
      <c r="J9" s="4">
        <f t="shared" si="1"/>
        <v>-0.21833333333333727</v>
      </c>
      <c r="K9" s="4">
        <f t="shared" si="2"/>
        <v>1.2266666666666648</v>
      </c>
    </row>
    <row r="10" spans="1:14" x14ac:dyDescent="0.25">
      <c r="A10" t="s">
        <v>128</v>
      </c>
      <c r="B10" s="4">
        <v>13.15</v>
      </c>
      <c r="C10" s="4">
        <v>15.4</v>
      </c>
      <c r="D10" s="4">
        <v>14.55</v>
      </c>
      <c r="E10" s="4">
        <f t="shared" si="0"/>
        <v>14.366666666666667</v>
      </c>
      <c r="F10" s="4">
        <f t="shared" si="3"/>
        <v>-0.58666666666666423</v>
      </c>
      <c r="G10">
        <f t="shared" si="5"/>
        <v>1.4572507067048073</v>
      </c>
      <c r="H10" t="s">
        <v>128</v>
      </c>
      <c r="I10" s="4">
        <f t="shared" si="4"/>
        <v>-0.40833333333333499</v>
      </c>
      <c r="J10" s="4">
        <f t="shared" si="1"/>
        <v>-0.2683333333333362</v>
      </c>
      <c r="K10" s="4">
        <f t="shared" si="2"/>
        <v>0.67666666666666586</v>
      </c>
    </row>
    <row r="11" spans="1:14" x14ac:dyDescent="0.25">
      <c r="A11" t="s">
        <v>129</v>
      </c>
      <c r="B11" s="4">
        <v>13.2</v>
      </c>
      <c r="C11" s="4">
        <v>14.2</v>
      </c>
      <c r="D11" s="4">
        <v>15.05</v>
      </c>
      <c r="E11" s="4">
        <f t="shared" si="0"/>
        <v>14.15</v>
      </c>
      <c r="F11" s="4">
        <f>E11-E$12</f>
        <v>-0.80333333333333101</v>
      </c>
      <c r="G11">
        <f t="shared" si="5"/>
        <v>1.2108773295868116</v>
      </c>
      <c r="H11" t="s">
        <v>129</v>
      </c>
      <c r="I11" s="4">
        <f t="shared" si="4"/>
        <v>-0.14166666666666927</v>
      </c>
      <c r="J11" s="4">
        <f t="shared" si="1"/>
        <v>0.44833333333333059</v>
      </c>
      <c r="K11" s="4">
        <f t="shared" si="2"/>
        <v>-0.30666666666666842</v>
      </c>
    </row>
    <row r="12" spans="1:14" x14ac:dyDescent="0.25">
      <c r="A12" t="s">
        <v>157</v>
      </c>
      <c r="B12" s="4">
        <f>AVERAGE(B2:B11)</f>
        <v>14.145</v>
      </c>
      <c r="C12" s="4">
        <f t="shared" ref="C12" si="6">AVERAGE(C2:C11)</f>
        <v>15.309999999999999</v>
      </c>
      <c r="D12" s="4">
        <f>AVERAGE(D2:D11)</f>
        <v>15.405000000000001</v>
      </c>
      <c r="E12" s="4">
        <f>AVERAGE(B2:D11)</f>
        <v>14.953333333333331</v>
      </c>
      <c r="F12" s="4"/>
    </row>
    <row r="13" spans="1:14" x14ac:dyDescent="0.25">
      <c r="A13" t="s">
        <v>158</v>
      </c>
      <c r="B13" s="4">
        <f>B12-$E12</f>
        <v>-0.80833333333333179</v>
      </c>
      <c r="C13" s="4">
        <f>C12-$E12</f>
        <v>0.35666666666666735</v>
      </c>
      <c r="D13" s="26">
        <f>D12-$E12</f>
        <v>0.45166666666666977</v>
      </c>
      <c r="E13" s="4"/>
      <c r="G13" s="28" t="s">
        <v>183</v>
      </c>
      <c r="M13" s="28" t="s">
        <v>184</v>
      </c>
    </row>
    <row r="14" spans="1:14" x14ac:dyDescent="0.25">
      <c r="A14" s="25" t="s">
        <v>182</v>
      </c>
      <c r="G14" t="s">
        <v>155</v>
      </c>
      <c r="M14" t="s">
        <v>155</v>
      </c>
    </row>
    <row r="15" spans="1:14" x14ac:dyDescent="0.25">
      <c r="A15" t="s">
        <v>173</v>
      </c>
      <c r="B15" t="s">
        <v>159</v>
      </c>
      <c r="C15" t="s">
        <v>161</v>
      </c>
      <c r="D15" t="s">
        <v>160</v>
      </c>
      <c r="E15" t="s">
        <v>162</v>
      </c>
      <c r="F15" t="s">
        <v>174</v>
      </c>
      <c r="G15" t="s">
        <v>175</v>
      </c>
      <c r="H15" t="s">
        <v>176</v>
      </c>
      <c r="I15" t="s">
        <v>177</v>
      </c>
      <c r="J15" t="s">
        <v>159</v>
      </c>
      <c r="K15" t="s">
        <v>161</v>
      </c>
      <c r="L15" t="s">
        <v>160</v>
      </c>
      <c r="M15" t="s">
        <v>175</v>
      </c>
      <c r="N15" t="s">
        <v>178</v>
      </c>
    </row>
    <row r="16" spans="1:14" x14ac:dyDescent="0.25">
      <c r="A16" t="s">
        <v>125</v>
      </c>
      <c r="B16" s="4">
        <v>15.55</v>
      </c>
      <c r="C16" s="4">
        <v>16.5</v>
      </c>
      <c r="D16" s="4">
        <v>16.399999999999999</v>
      </c>
      <c r="E16" s="4">
        <v>16.149999999999999</v>
      </c>
      <c r="F16" s="4">
        <v>1.1966666666666672</v>
      </c>
      <c r="G16">
        <f>SLOPE(B16:D16,$B$26:$D$26)</f>
        <v>0.73404201296612726</v>
      </c>
      <c r="H16">
        <f>SLOPE(B16:D16,$B$27:$D$27)</f>
        <v>0.73404201296612714</v>
      </c>
      <c r="I16" t="s">
        <v>125</v>
      </c>
      <c r="J16" s="4">
        <v>0.20833333333333393</v>
      </c>
      <c r="K16" s="4">
        <v>-0.20166666666666977</v>
      </c>
      <c r="L16" s="4">
        <v>-6.6666666666659324E-3</v>
      </c>
      <c r="M16">
        <f>SLOPE(J16:L16,$J$26:$L$26)</f>
        <v>-0.24714355840682589</v>
      </c>
      <c r="N16">
        <f>SLOPE(J16:L16,$J$27:$L$27)</f>
        <v>-0.24714355840682584</v>
      </c>
    </row>
    <row r="17" spans="1:14" x14ac:dyDescent="0.25">
      <c r="A17" t="s">
        <v>124</v>
      </c>
      <c r="B17" s="4">
        <v>15.65</v>
      </c>
      <c r="C17" s="4">
        <v>15.5</v>
      </c>
      <c r="D17" s="4">
        <v>16.649999999999999</v>
      </c>
      <c r="E17" s="4">
        <v>15.933333333333332</v>
      </c>
      <c r="F17" s="4">
        <v>0.98000000000000043</v>
      </c>
      <c r="G17">
        <f t="shared" ref="G17:G25" si="7">SLOPE(B17:D17,$B$26:$D$26)</f>
        <v>0.40438749428711707</v>
      </c>
      <c r="H17">
        <f t="shared" ref="H17:H25" si="8">SLOPE(B17:D17,$B$27:$D$27)</f>
        <v>0.40438749428711696</v>
      </c>
      <c r="I17" t="s">
        <v>124</v>
      </c>
      <c r="J17" s="4">
        <v>0.52500000000000036</v>
      </c>
      <c r="K17" s="4">
        <v>0.26499999999999702</v>
      </c>
      <c r="L17" s="4">
        <v>-0.78999999999999915</v>
      </c>
      <c r="M17">
        <f>SLOPE(J17:L17,$J$26:$L$26)</f>
        <v>-0.69740338879767272</v>
      </c>
      <c r="N17">
        <f t="shared" ref="N17:N25" si="9">SLOPE(J17:L17,$J$27:$L$27)</f>
        <v>-0.69740338879767261</v>
      </c>
    </row>
    <row r="18" spans="1:14" x14ac:dyDescent="0.25">
      <c r="A18" t="s">
        <v>121</v>
      </c>
      <c r="B18" s="4">
        <v>14.75</v>
      </c>
      <c r="C18" s="4">
        <v>16</v>
      </c>
      <c r="D18" s="4">
        <v>15.75</v>
      </c>
      <c r="E18" s="4">
        <v>15.5</v>
      </c>
      <c r="F18" s="4">
        <v>0.54666666666666863</v>
      </c>
      <c r="G18">
        <f t="shared" si="7"/>
        <v>0.91152225062206871</v>
      </c>
      <c r="H18">
        <f t="shared" si="8"/>
        <v>0.91152225062206849</v>
      </c>
      <c r="I18" t="s">
        <v>121</v>
      </c>
      <c r="J18" s="4">
        <v>5.8333333333331794E-2</v>
      </c>
      <c r="K18" s="4">
        <v>-0.20166666666666977</v>
      </c>
      <c r="L18" s="4">
        <v>0.14333333333333265</v>
      </c>
      <c r="M18">
        <f t="shared" ref="M18:M25" si="10">SLOPE(J18:L18,$J$26:$L$26)</f>
        <v>-5.5190683345464134E-2</v>
      </c>
      <c r="N18">
        <f t="shared" si="9"/>
        <v>-5.5190683345464113E-2</v>
      </c>
    </row>
    <row r="19" spans="1:14" x14ac:dyDescent="0.25">
      <c r="A19" t="s">
        <v>122</v>
      </c>
      <c r="B19" s="4">
        <v>14.45</v>
      </c>
      <c r="C19" s="4">
        <v>15.65</v>
      </c>
      <c r="D19" s="4">
        <v>15.85</v>
      </c>
      <c r="E19" s="4">
        <v>15.316666666666668</v>
      </c>
      <c r="F19" s="4">
        <v>0.36333333333333684</v>
      </c>
      <c r="G19">
        <f t="shared" si="7"/>
        <v>1.0768996394535948</v>
      </c>
      <c r="H19">
        <f t="shared" si="8"/>
        <v>1.0768996394535946</v>
      </c>
      <c r="I19" t="s">
        <v>122</v>
      </c>
      <c r="J19" s="4">
        <v>-5.8333333333337123E-2</v>
      </c>
      <c r="K19" s="4">
        <v>8.1666666666661669E-2</v>
      </c>
      <c r="L19" s="4">
        <v>-2.3333333333335204E-2</v>
      </c>
      <c r="M19">
        <f t="shared" si="10"/>
        <v>6.6768793269800716E-2</v>
      </c>
      <c r="N19">
        <f t="shared" si="9"/>
        <v>6.6768793269800675E-2</v>
      </c>
    </row>
    <row r="20" spans="1:14" x14ac:dyDescent="0.25">
      <c r="A20" t="s">
        <v>123</v>
      </c>
      <c r="B20" s="4">
        <v>13.6</v>
      </c>
      <c r="C20" s="4">
        <v>15.25</v>
      </c>
      <c r="D20" s="4">
        <v>16.399999999999999</v>
      </c>
      <c r="E20" s="4">
        <v>15.083333333333334</v>
      </c>
      <c r="F20" s="4">
        <v>0.13000000000000256</v>
      </c>
      <c r="G20">
        <f t="shared" si="7"/>
        <v>1.8821199451563213</v>
      </c>
      <c r="H20">
        <f t="shared" si="8"/>
        <v>1.8821199451563211</v>
      </c>
      <c r="I20" t="s">
        <v>123</v>
      </c>
      <c r="J20" s="4">
        <v>-0.67500000000000249</v>
      </c>
      <c r="K20" s="4">
        <v>0.86499999999999488</v>
      </c>
      <c r="L20" s="4">
        <v>-0.19000000000000128</v>
      </c>
      <c r="M20">
        <f t="shared" si="10"/>
        <v>0.78032906207153174</v>
      </c>
      <c r="N20">
        <f t="shared" si="9"/>
        <v>0.78032906207153141</v>
      </c>
    </row>
    <row r="21" spans="1:14" x14ac:dyDescent="0.25">
      <c r="A21" t="s">
        <v>120</v>
      </c>
      <c r="B21" s="4">
        <v>15.2</v>
      </c>
      <c r="C21" s="4">
        <v>14.65</v>
      </c>
      <c r="D21" s="4">
        <v>14.5</v>
      </c>
      <c r="E21" s="4">
        <v>14.783333333333333</v>
      </c>
      <c r="F21" s="4">
        <v>-0.16999999999999815</v>
      </c>
      <c r="G21">
        <f t="shared" si="7"/>
        <v>-0.52033786414340533</v>
      </c>
      <c r="H21">
        <f t="shared" si="8"/>
        <v>-0.52033786414340522</v>
      </c>
      <c r="I21" t="s">
        <v>120</v>
      </c>
      <c r="J21" s="4">
        <v>1.2249999999999979</v>
      </c>
      <c r="K21" s="4">
        <v>-0.73500000000000298</v>
      </c>
      <c r="L21" s="4">
        <v>-0.49000000000000021</v>
      </c>
      <c r="M21">
        <f t="shared" si="10"/>
        <v>-1.4966992230478851</v>
      </c>
      <c r="N21">
        <f t="shared" si="9"/>
        <v>-1.4966992230478846</v>
      </c>
    </row>
    <row r="22" spans="1:14" x14ac:dyDescent="0.25">
      <c r="A22" t="s">
        <v>128</v>
      </c>
      <c r="B22" s="4">
        <v>13.15</v>
      </c>
      <c r="C22" s="4">
        <v>15.4</v>
      </c>
      <c r="D22" s="4">
        <v>14.55</v>
      </c>
      <c r="E22" s="4">
        <v>14.366666666666667</v>
      </c>
      <c r="F22" s="4">
        <v>-0.58666666666666423</v>
      </c>
      <c r="G22">
        <f t="shared" si="7"/>
        <v>1.4572507067048073</v>
      </c>
      <c r="H22">
        <f t="shared" si="8"/>
        <v>1.4572507067048071</v>
      </c>
      <c r="I22" t="s">
        <v>128</v>
      </c>
      <c r="J22" s="4">
        <v>-0.40833333333333499</v>
      </c>
      <c r="K22" s="4">
        <v>-0.2683333333333362</v>
      </c>
      <c r="L22" s="4">
        <v>0.67666666666666586</v>
      </c>
      <c r="M22">
        <f t="shared" si="10"/>
        <v>0.54842832235895611</v>
      </c>
      <c r="N22">
        <f t="shared" si="9"/>
        <v>0.548428322358956</v>
      </c>
    </row>
    <row r="23" spans="1:14" x14ac:dyDescent="0.25">
      <c r="A23" t="s">
        <v>126</v>
      </c>
      <c r="B23" s="4">
        <v>13.65</v>
      </c>
      <c r="C23" s="4">
        <v>14.3</v>
      </c>
      <c r="D23" s="4">
        <v>14.6</v>
      </c>
      <c r="E23" s="4">
        <v>14.183333333333335</v>
      </c>
      <c r="F23" s="4">
        <v>-0.76999999999999602</v>
      </c>
      <c r="G23">
        <f t="shared" si="7"/>
        <v>0.67124261556951081</v>
      </c>
      <c r="H23">
        <f t="shared" si="8"/>
        <v>0.67124261556951059</v>
      </c>
      <c r="I23" t="s">
        <v>126</v>
      </c>
      <c r="J23" s="4">
        <v>0.2749999999999968</v>
      </c>
      <c r="K23" s="4">
        <v>-3.5000000000005471E-2</v>
      </c>
      <c r="L23" s="4">
        <v>-0.24000000000000199</v>
      </c>
      <c r="M23">
        <f t="shared" si="10"/>
        <v>-0.34853665555123009</v>
      </c>
      <c r="N23">
        <f t="shared" si="9"/>
        <v>-0.34853665555123003</v>
      </c>
    </row>
    <row r="24" spans="1:14" x14ac:dyDescent="0.25">
      <c r="A24" t="s">
        <v>129</v>
      </c>
      <c r="B24" s="4">
        <v>13.2</v>
      </c>
      <c r="C24" s="4">
        <v>14.2</v>
      </c>
      <c r="D24" s="4">
        <v>15.05</v>
      </c>
      <c r="E24" s="4">
        <v>14.15</v>
      </c>
      <c r="F24" s="4">
        <v>-0.80333333333333101</v>
      </c>
      <c r="G24">
        <f t="shared" si="7"/>
        <v>1.2108773295868116</v>
      </c>
      <c r="H24">
        <f t="shared" si="8"/>
        <v>1.2108773295868114</v>
      </c>
      <c r="I24" t="s">
        <v>129</v>
      </c>
      <c r="J24" s="4">
        <v>-0.14166666666666927</v>
      </c>
      <c r="K24" s="4">
        <v>0.44833333333333059</v>
      </c>
      <c r="L24" s="4">
        <v>-0.30666666666666842</v>
      </c>
      <c r="M24">
        <f t="shared" si="10"/>
        <v>0.13803172131286223</v>
      </c>
      <c r="N24">
        <f t="shared" si="9"/>
        <v>0.13803172131286223</v>
      </c>
    </row>
    <row r="25" spans="1:14" x14ac:dyDescent="0.25">
      <c r="A25" t="s">
        <v>127</v>
      </c>
      <c r="B25" s="4">
        <v>12.25</v>
      </c>
      <c r="C25" s="4">
        <v>15.65</v>
      </c>
      <c r="D25" s="4">
        <v>14.3</v>
      </c>
      <c r="E25" s="4">
        <v>14.066666666666668</v>
      </c>
      <c r="F25" s="4">
        <v>-0.88666666666666316</v>
      </c>
      <c r="G25">
        <f t="shared" si="7"/>
        <v>2.1719958697970418</v>
      </c>
      <c r="H25">
        <f t="shared" si="8"/>
        <v>2.1719958697970418</v>
      </c>
      <c r="I25" t="s">
        <v>127</v>
      </c>
      <c r="J25" s="4">
        <v>-1.0083333333333364</v>
      </c>
      <c r="K25" s="4">
        <v>-0.21833333333333727</v>
      </c>
      <c r="L25" s="4">
        <v>1.2266666666666648</v>
      </c>
      <c r="M25">
        <f t="shared" si="10"/>
        <v>1.3114156101359256</v>
      </c>
      <c r="N25">
        <f t="shared" si="9"/>
        <v>1.3114156101359253</v>
      </c>
    </row>
    <row r="26" spans="1:14" x14ac:dyDescent="0.25">
      <c r="A26" t="s">
        <v>164</v>
      </c>
      <c r="B26" s="4">
        <v>14.145</v>
      </c>
      <c r="C26" s="4">
        <v>15.309999999999999</v>
      </c>
      <c r="D26" s="4">
        <v>15.405000000000001</v>
      </c>
      <c r="E26" s="4">
        <v>14.953333333333331</v>
      </c>
      <c r="I26" t="str">
        <f t="shared" ref="I26:L27" si="11">A26</f>
        <v>列平均</v>
      </c>
      <c r="J26">
        <f t="shared" si="11"/>
        <v>14.145</v>
      </c>
      <c r="K26">
        <f t="shared" si="11"/>
        <v>15.309999999999999</v>
      </c>
      <c r="L26">
        <f t="shared" si="11"/>
        <v>15.405000000000001</v>
      </c>
    </row>
    <row r="27" spans="1:14" x14ac:dyDescent="0.25">
      <c r="A27" t="s">
        <v>179</v>
      </c>
      <c r="B27" s="4">
        <v>-0.80833333333333202</v>
      </c>
      <c r="C27" s="4">
        <v>0.35666666666666735</v>
      </c>
      <c r="D27" s="4">
        <v>0.45166666666666977</v>
      </c>
      <c r="E27" s="4"/>
      <c r="I27" t="str">
        <f t="shared" si="11"/>
        <v>环境效应</v>
      </c>
      <c r="J27" s="4">
        <f>B27</f>
        <v>-0.80833333333333202</v>
      </c>
      <c r="K27">
        <f t="shared" si="11"/>
        <v>0.35666666666666735</v>
      </c>
      <c r="L27">
        <f t="shared" si="11"/>
        <v>0.45166666666666977</v>
      </c>
    </row>
    <row r="44" spans="1:11" x14ac:dyDescent="0.25">
      <c r="A44" t="s">
        <v>173</v>
      </c>
      <c r="B44" t="s">
        <v>125</v>
      </c>
      <c r="C44" t="s">
        <v>124</v>
      </c>
      <c r="D44" t="s">
        <v>121</v>
      </c>
      <c r="E44" t="s">
        <v>122</v>
      </c>
      <c r="F44" t="s">
        <v>123</v>
      </c>
      <c r="G44" t="s">
        <v>120</v>
      </c>
      <c r="H44" t="s">
        <v>128</v>
      </c>
      <c r="I44" t="s">
        <v>126</v>
      </c>
      <c r="J44" t="s">
        <v>129</v>
      </c>
      <c r="K44" t="s">
        <v>127</v>
      </c>
    </row>
    <row r="45" spans="1:11" x14ac:dyDescent="0.25">
      <c r="A45" t="s">
        <v>180</v>
      </c>
      <c r="B45" s="4">
        <v>16.149999999999999</v>
      </c>
      <c r="C45" s="4">
        <v>15.933333333333332</v>
      </c>
      <c r="D45" s="4">
        <v>15.5</v>
      </c>
      <c r="E45" s="4">
        <v>15.316666666666668</v>
      </c>
      <c r="F45" s="4">
        <v>15.083333333333334</v>
      </c>
      <c r="G45" s="4">
        <v>14.783333333333333</v>
      </c>
      <c r="H45" s="4">
        <v>14.366666666666667</v>
      </c>
      <c r="I45" s="4">
        <v>14.183333333333335</v>
      </c>
      <c r="J45" s="4">
        <v>14.15</v>
      </c>
      <c r="K45" s="4">
        <v>14.066666666666668</v>
      </c>
    </row>
    <row r="46" spans="1:11" x14ac:dyDescent="0.25">
      <c r="A46" t="s">
        <v>181</v>
      </c>
      <c r="B46" s="4">
        <v>0.73404201296612703</v>
      </c>
      <c r="C46" s="4">
        <v>0.40438749428711707</v>
      </c>
      <c r="D46" s="4">
        <v>0.91152225062206871</v>
      </c>
      <c r="E46" s="4">
        <v>1.0768996394535948</v>
      </c>
      <c r="F46" s="4">
        <v>1.8821199451563213</v>
      </c>
      <c r="G46" s="4">
        <v>-0.52033786414340533</v>
      </c>
      <c r="H46" s="4">
        <v>1.4572507067048073</v>
      </c>
      <c r="I46" s="4">
        <v>0.67124261556951081</v>
      </c>
      <c r="J46" s="4">
        <v>1.2108773295868116</v>
      </c>
      <c r="K46" s="4">
        <v>2.1719958697970418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实习2单基因</vt:lpstr>
      <vt:lpstr>实习2多个等效基因</vt:lpstr>
      <vt:lpstr>实习3</vt:lpstr>
      <vt:lpstr>实习4方差分析</vt:lpstr>
      <vt:lpstr>实习4环境稳定性分析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2016-11-22T09:05:53Z</dcterms:modified>
</cp:coreProperties>
</file>