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ml.chartshapes+xml"/>
  <Override PartName="/xl/charts/chart10.xml" ContentType="application/vnd.openxmlformats-officedocument.drawingml.chart+xml"/>
  <Override PartName="/xl/drawings/drawing9.xml" ContentType="application/vnd.openxmlformats-officedocument.drawingml.chartshapes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68" windowWidth="14808" windowHeight="7656" tabRatio="694" activeTab="9"/>
  </bookViews>
  <sheets>
    <sheet name="1章" sheetId="4" r:id="rId1"/>
    <sheet name="2章" sheetId="5" r:id="rId2"/>
    <sheet name="3章" sheetId="6" r:id="rId3"/>
    <sheet name="4章" sheetId="7" r:id="rId4"/>
    <sheet name="5章" sheetId="8" r:id="rId5"/>
    <sheet name="6章" sheetId="9" r:id="rId6"/>
    <sheet name="7章" sheetId="10" r:id="rId7"/>
    <sheet name="8章" sheetId="11" r:id="rId8"/>
    <sheet name="9章" sheetId="12" r:id="rId9"/>
    <sheet name="10章" sheetId="13" r:id="rId10"/>
    <sheet name="11章" sheetId="14" r:id="rId11"/>
    <sheet name="12章" sheetId="15" r:id="rId12"/>
    <sheet name="13章" sheetId="16" r:id="rId13"/>
  </sheets>
  <calcPr calcId="145621"/>
</workbook>
</file>

<file path=xl/calcChain.xml><?xml version="1.0" encoding="utf-8"?>
<calcChain xmlns="http://schemas.openxmlformats.org/spreadsheetml/2006/main">
  <c r="E174" i="13" l="1"/>
  <c r="E175" i="13"/>
  <c r="G31" i="6" l="1"/>
  <c r="G30" i="6"/>
  <c r="G29" i="6"/>
  <c r="G27" i="6"/>
  <c r="G26" i="6"/>
  <c r="G25" i="6"/>
  <c r="D39" i="6" l="1"/>
  <c r="C12" i="13" l="1"/>
  <c r="C11" i="13"/>
  <c r="D11" i="13"/>
  <c r="D9" i="13"/>
  <c r="K66" i="10" l="1"/>
  <c r="J66" i="10"/>
  <c r="I66" i="10"/>
  <c r="L66" i="10" l="1"/>
  <c r="L9" i="10"/>
  <c r="L15" i="9" l="1"/>
  <c r="L14" i="9"/>
  <c r="H15" i="9"/>
  <c r="H14" i="9"/>
  <c r="E6" i="16" l="1"/>
  <c r="G138" i="12"/>
  <c r="F140" i="12"/>
  <c r="F139" i="12"/>
  <c r="F138" i="12"/>
  <c r="G104" i="12"/>
  <c r="F106" i="12"/>
  <c r="F105" i="12"/>
  <c r="F104" i="12"/>
  <c r="G266" i="10"/>
  <c r="G267" i="10"/>
  <c r="G268" i="10"/>
  <c r="G265" i="10"/>
  <c r="F266" i="10"/>
  <c r="F267" i="10"/>
  <c r="F268" i="10"/>
  <c r="F265" i="10"/>
  <c r="D13" i="9"/>
  <c r="E7" i="9" s="1"/>
  <c r="J12" i="9"/>
  <c r="E12" i="9"/>
  <c r="J11" i="9"/>
  <c r="E11" i="9"/>
  <c r="J10" i="9"/>
  <c r="E10" i="9"/>
  <c r="J9" i="9"/>
  <c r="J8" i="9"/>
  <c r="E8" i="9"/>
  <c r="J7" i="9"/>
  <c r="J6" i="9"/>
  <c r="E6" i="9"/>
  <c r="J5" i="9"/>
  <c r="E5" i="9"/>
  <c r="J4" i="9"/>
  <c r="E4" i="9"/>
  <c r="J3" i="9"/>
  <c r="E3" i="9"/>
  <c r="J2" i="9"/>
  <c r="E2" i="9"/>
  <c r="J13" i="9" l="1"/>
  <c r="D14" i="9"/>
  <c r="E9" i="9"/>
  <c r="E13" i="9" s="1"/>
  <c r="D15" i="9" l="1"/>
  <c r="D16" i="9" s="1"/>
  <c r="I20" i="9" s="1"/>
  <c r="K20" i="9" s="1"/>
  <c r="F11" i="9"/>
  <c r="F3" i="9"/>
  <c r="F4" i="9"/>
  <c r="F12" i="9"/>
  <c r="H20" i="9"/>
  <c r="J20" i="9" s="1"/>
  <c r="I19" i="9"/>
  <c r="K19" i="9" s="1"/>
  <c r="F6" i="9"/>
  <c r="H19" i="9"/>
  <c r="J19" i="9" s="1"/>
  <c r="F7" i="9"/>
  <c r="K12" i="9" l="1"/>
  <c r="G12" i="9"/>
  <c r="K7" i="9"/>
  <c r="L7" i="9" s="1"/>
  <c r="G7" i="9"/>
  <c r="H7" i="9" s="1"/>
  <c r="K4" i="9"/>
  <c r="L4" i="9" s="1"/>
  <c r="G4" i="9"/>
  <c r="H4" i="9" s="1"/>
  <c r="K6" i="9"/>
  <c r="L6" i="9" s="1"/>
  <c r="G6" i="9"/>
  <c r="H6" i="9" s="1"/>
  <c r="G11" i="9"/>
  <c r="K11" i="9"/>
  <c r="K3" i="9"/>
  <c r="G3" i="9"/>
  <c r="H3" i="9" s="1"/>
  <c r="F10" i="9"/>
  <c r="F2" i="9"/>
  <c r="F9" i="9"/>
  <c r="F5" i="9"/>
  <c r="F8" i="9"/>
  <c r="G2" i="9" l="1"/>
  <c r="H2" i="9" s="1"/>
  <c r="K2" i="9"/>
  <c r="L3" i="9" s="1"/>
  <c r="G9" i="9"/>
  <c r="H9" i="9" s="1"/>
  <c r="K9" i="9"/>
  <c r="L9" i="9" s="1"/>
  <c r="K5" i="9"/>
  <c r="L5" i="9" s="1"/>
  <c r="G5" i="9"/>
  <c r="H5" i="9" s="1"/>
  <c r="G10" i="9"/>
  <c r="H10" i="9" s="1"/>
  <c r="K10" i="9"/>
  <c r="L10" i="9" s="1"/>
  <c r="G8" i="9"/>
  <c r="H8" i="9" s="1"/>
  <c r="K8" i="9"/>
  <c r="L8" i="9" s="1"/>
  <c r="H11" i="9"/>
  <c r="F311" i="8" l="1"/>
  <c r="E9" i="8" l="1"/>
  <c r="C202" i="5"/>
  <c r="D198" i="5"/>
  <c r="E198" i="5"/>
  <c r="C198" i="5"/>
  <c r="C197" i="5"/>
  <c r="D173" i="4"/>
  <c r="D174" i="4"/>
  <c r="D175" i="4"/>
  <c r="D172" i="4"/>
  <c r="C175" i="4"/>
  <c r="C173" i="4"/>
  <c r="C174" i="4"/>
  <c r="C172" i="4"/>
  <c r="D171" i="4"/>
  <c r="C171" i="4"/>
  <c r="D110" i="4"/>
  <c r="C110" i="4"/>
  <c r="B110" i="4"/>
  <c r="H110" i="4"/>
  <c r="H107" i="4"/>
  <c r="G107" i="4"/>
  <c r="F107" i="4"/>
  <c r="E107" i="4"/>
  <c r="D107" i="4"/>
  <c r="C107" i="4"/>
  <c r="B107" i="4"/>
  <c r="C36" i="4" l="1"/>
  <c r="I2" i="4"/>
  <c r="D89" i="7" l="1"/>
  <c r="E108" i="7"/>
  <c r="E89" i="7"/>
  <c r="D87" i="7"/>
  <c r="C91" i="7"/>
  <c r="D90" i="7" s="1"/>
  <c r="E90" i="7" s="1"/>
  <c r="C92" i="7"/>
  <c r="D91" i="7" s="1"/>
  <c r="E91" i="7" s="1"/>
  <c r="C93" i="7"/>
  <c r="D92" i="7" s="1"/>
  <c r="E92" i="7" s="1"/>
  <c r="C94" i="7"/>
  <c r="D93" i="7" s="1"/>
  <c r="E93" i="7" s="1"/>
  <c r="C95" i="7"/>
  <c r="C96" i="7" s="1"/>
  <c r="C90" i="7"/>
  <c r="D88" i="7"/>
  <c r="C97" i="7" l="1"/>
  <c r="D95" i="7"/>
  <c r="E95" i="7" s="1"/>
  <c r="D94" i="7"/>
  <c r="E94" i="7" s="1"/>
  <c r="D115" i="16"/>
  <c r="C98" i="7" l="1"/>
  <c r="D96" i="7"/>
  <c r="E96" i="7" s="1"/>
  <c r="E13" i="16"/>
  <c r="F8" i="16"/>
  <c r="E8" i="16"/>
  <c r="E9" i="16"/>
  <c r="E10" i="16" s="1"/>
  <c r="E11" i="16" s="1"/>
  <c r="E12" i="16" s="1"/>
  <c r="F7" i="16"/>
  <c r="E7" i="16"/>
  <c r="F6" i="16"/>
  <c r="F5" i="16"/>
  <c r="E5" i="16"/>
  <c r="D97" i="7" l="1"/>
  <c r="E97" i="7" s="1"/>
  <c r="C99" i="7"/>
  <c r="C100" i="7" l="1"/>
  <c r="D98" i="7"/>
  <c r="E98" i="7" s="1"/>
  <c r="M417" i="15"/>
  <c r="L417" i="15"/>
  <c r="M416" i="15"/>
  <c r="L416" i="15"/>
  <c r="M415" i="15"/>
  <c r="L415" i="15"/>
  <c r="M414" i="15"/>
  <c r="L414" i="15"/>
  <c r="M413" i="15"/>
  <c r="L413" i="15"/>
  <c r="M412" i="15"/>
  <c r="L412" i="15"/>
  <c r="M409" i="15"/>
  <c r="L409" i="15"/>
  <c r="M408" i="15"/>
  <c r="L408" i="15"/>
  <c r="M407" i="15"/>
  <c r="L407" i="15"/>
  <c r="M406" i="15"/>
  <c r="L406" i="15"/>
  <c r="M405" i="15"/>
  <c r="L405" i="15"/>
  <c r="M401" i="15"/>
  <c r="L401" i="15"/>
  <c r="M400" i="15"/>
  <c r="L400" i="15"/>
  <c r="M399" i="15"/>
  <c r="L399" i="15"/>
  <c r="M398" i="15"/>
  <c r="L398" i="15"/>
  <c r="M393" i="15"/>
  <c r="L393" i="15"/>
  <c r="M392" i="15"/>
  <c r="L392" i="15"/>
  <c r="M391" i="15"/>
  <c r="L391" i="15"/>
  <c r="M385" i="15"/>
  <c r="L385" i="15"/>
  <c r="M384" i="15"/>
  <c r="L384" i="15"/>
  <c r="M377" i="15"/>
  <c r="L377" i="15"/>
  <c r="L419" i="15"/>
  <c r="L356" i="15"/>
  <c r="L355" i="15"/>
  <c r="L354" i="15"/>
  <c r="L353" i="15"/>
  <c r="L352" i="15"/>
  <c r="L351" i="15"/>
  <c r="L350" i="15"/>
  <c r="L348" i="15"/>
  <c r="L347" i="15"/>
  <c r="L346" i="15"/>
  <c r="L345" i="15"/>
  <c r="L344" i="15"/>
  <c r="L343" i="15"/>
  <c r="L340" i="15"/>
  <c r="L339" i="15"/>
  <c r="L338" i="15"/>
  <c r="L337" i="15"/>
  <c r="L336" i="15"/>
  <c r="L332" i="15"/>
  <c r="L331" i="15"/>
  <c r="L330" i="15"/>
  <c r="L329" i="15"/>
  <c r="L324" i="15"/>
  <c r="L323" i="15"/>
  <c r="L322" i="15"/>
  <c r="L316" i="15"/>
  <c r="L315" i="15"/>
  <c r="L308" i="15"/>
  <c r="L184" i="15"/>
  <c r="L252" i="15"/>
  <c r="L293" i="15"/>
  <c r="C101" i="7" l="1"/>
  <c r="D99" i="7"/>
  <c r="E99" i="7" s="1"/>
  <c r="L253" i="15"/>
  <c r="L247" i="15"/>
  <c r="L292" i="15"/>
  <c r="L291" i="15"/>
  <c r="L290" i="15"/>
  <c r="L289" i="15"/>
  <c r="L288" i="15"/>
  <c r="L287" i="15"/>
  <c r="L285" i="15"/>
  <c r="L284" i="15"/>
  <c r="L283" i="15"/>
  <c r="L282" i="15"/>
  <c r="L281" i="15"/>
  <c r="L280" i="15"/>
  <c r="L279" i="15"/>
  <c r="L277" i="15"/>
  <c r="L276" i="15"/>
  <c r="L275" i="15"/>
  <c r="L274" i="15"/>
  <c r="L273" i="15"/>
  <c r="L272" i="15"/>
  <c r="L271" i="15"/>
  <c r="L269" i="15"/>
  <c r="L268" i="15"/>
  <c r="L267" i="15"/>
  <c r="L266" i="15"/>
  <c r="L265" i="15"/>
  <c r="L264" i="15"/>
  <c r="L263" i="15"/>
  <c r="L261" i="15"/>
  <c r="L260" i="15"/>
  <c r="L259" i="15"/>
  <c r="L258" i="15"/>
  <c r="L257" i="15"/>
  <c r="L256" i="15"/>
  <c r="L255" i="15"/>
  <c r="L251" i="15"/>
  <c r="L250" i="15"/>
  <c r="L249" i="15"/>
  <c r="L248" i="15"/>
  <c r="F86" i="15"/>
  <c r="E86" i="15"/>
  <c r="F84" i="15"/>
  <c r="L84" i="15"/>
  <c r="G91" i="15" s="1"/>
  <c r="K84" i="15"/>
  <c r="G90" i="15" s="1"/>
  <c r="J84" i="15"/>
  <c r="F90" i="15" s="1"/>
  <c r="I84" i="15"/>
  <c r="H84" i="15"/>
  <c r="L90" i="15" s="1"/>
  <c r="G84" i="15"/>
  <c r="E84" i="15"/>
  <c r="E88" i="15" s="1"/>
  <c r="D84" i="15"/>
  <c r="D88" i="15" s="1"/>
  <c r="D100" i="7" l="1"/>
  <c r="E100" i="7" s="1"/>
  <c r="C102" i="7"/>
  <c r="L89" i="15"/>
  <c r="E89" i="15"/>
  <c r="K90" i="15"/>
  <c r="D86" i="15"/>
  <c r="K88" i="15"/>
  <c r="K89" i="15"/>
  <c r="G86" i="15"/>
  <c r="L91" i="15"/>
  <c r="M88" i="15"/>
  <c r="M89" i="15"/>
  <c r="K91" i="15"/>
  <c r="M90" i="15"/>
  <c r="L88" i="15"/>
  <c r="M91" i="15"/>
  <c r="F91" i="15"/>
  <c r="I89" i="15"/>
  <c r="D90" i="15"/>
  <c r="F88" i="15"/>
  <c r="I90" i="15"/>
  <c r="D89" i="15"/>
  <c r="D91" i="15"/>
  <c r="F89" i="15"/>
  <c r="J88" i="15"/>
  <c r="J89" i="15"/>
  <c r="E90" i="15"/>
  <c r="G89" i="15"/>
  <c r="J90" i="15"/>
  <c r="I88" i="15"/>
  <c r="I91" i="15"/>
  <c r="G88" i="15"/>
  <c r="E91" i="15"/>
  <c r="J91" i="15"/>
  <c r="H90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J174" i="15"/>
  <c r="C103" i="7" l="1"/>
  <c r="D101" i="7"/>
  <c r="E101" i="7" s="1"/>
  <c r="I93" i="15"/>
  <c r="D93" i="15"/>
  <c r="E93" i="15"/>
  <c r="N90" i="15"/>
  <c r="M93" i="15"/>
  <c r="H88" i="15"/>
  <c r="F93" i="15"/>
  <c r="F97" i="15" s="1"/>
  <c r="M92" i="15"/>
  <c r="J93" i="15"/>
  <c r="K93" i="15"/>
  <c r="G93" i="15"/>
  <c r="G99" i="15" s="1"/>
  <c r="F92" i="15"/>
  <c r="L93" i="15"/>
  <c r="L96" i="15" s="1"/>
  <c r="H91" i="15"/>
  <c r="N89" i="15"/>
  <c r="N91" i="15"/>
  <c r="L92" i="15"/>
  <c r="N88" i="15"/>
  <c r="K92" i="15"/>
  <c r="J92" i="15"/>
  <c r="I92" i="15"/>
  <c r="H89" i="15"/>
  <c r="E92" i="15"/>
  <c r="D92" i="15"/>
  <c r="G92" i="15"/>
  <c r="C10" i="15"/>
  <c r="C9" i="15"/>
  <c r="D102" i="7" l="1"/>
  <c r="E102" i="7" s="1"/>
  <c r="C104" i="7"/>
  <c r="D96" i="15"/>
  <c r="D98" i="15"/>
  <c r="D97" i="15"/>
  <c r="D100" i="15"/>
  <c r="D99" i="15"/>
  <c r="D95" i="15"/>
  <c r="E99" i="15"/>
  <c r="E96" i="15"/>
  <c r="E100" i="15"/>
  <c r="E95" i="15"/>
  <c r="E98" i="15"/>
  <c r="F99" i="15"/>
  <c r="F96" i="15"/>
  <c r="F95" i="15"/>
  <c r="F100" i="15"/>
  <c r="F98" i="15"/>
  <c r="M94" i="15"/>
  <c r="N93" i="15"/>
  <c r="G95" i="15"/>
  <c r="G100" i="15"/>
  <c r="G97" i="15"/>
  <c r="G98" i="15"/>
  <c r="G96" i="15"/>
  <c r="E97" i="15"/>
  <c r="M97" i="15"/>
  <c r="M95" i="15"/>
  <c r="M96" i="15"/>
  <c r="M99" i="15"/>
  <c r="M100" i="15"/>
  <c r="K95" i="15"/>
  <c r="K99" i="15"/>
  <c r="K97" i="15"/>
  <c r="K98" i="15"/>
  <c r="K100" i="15"/>
  <c r="M98" i="15"/>
  <c r="E94" i="15"/>
  <c r="L95" i="15"/>
  <c r="L99" i="15"/>
  <c r="L98" i="15"/>
  <c r="L97" i="15"/>
  <c r="L100" i="15"/>
  <c r="K94" i="15"/>
  <c r="N94" i="15"/>
  <c r="N92" i="15"/>
  <c r="I100" i="15"/>
  <c r="L94" i="15"/>
  <c r="K96" i="15"/>
  <c r="I96" i="15"/>
  <c r="I99" i="15"/>
  <c r="I97" i="15"/>
  <c r="I98" i="15"/>
  <c r="I95" i="15"/>
  <c r="I94" i="15"/>
  <c r="J94" i="15"/>
  <c r="J97" i="15"/>
  <c r="J96" i="15"/>
  <c r="J100" i="15"/>
  <c r="J95" i="15"/>
  <c r="J98" i="15"/>
  <c r="J99" i="15"/>
  <c r="G94" i="15"/>
  <c r="D94" i="15"/>
  <c r="F94" i="15"/>
  <c r="G51" i="14"/>
  <c r="G50" i="14"/>
  <c r="G49" i="14"/>
  <c r="G48" i="14"/>
  <c r="G47" i="14"/>
  <c r="G45" i="14"/>
  <c r="D46" i="14"/>
  <c r="G46" i="14"/>
  <c r="H42" i="14" a="1"/>
  <c r="H42" i="14"/>
  <c r="H43" i="14"/>
  <c r="E47" i="14"/>
  <c r="E48" i="14" s="1"/>
  <c r="E49" i="14" s="1"/>
  <c r="E46" i="14"/>
  <c r="D47" i="14"/>
  <c r="D48" i="14" s="1"/>
  <c r="D49" i="14" s="1"/>
  <c r="E45" i="14"/>
  <c r="D45" i="14"/>
  <c r="C37" i="14"/>
  <c r="G33" i="14"/>
  <c r="G35" i="14"/>
  <c r="C35" i="14"/>
  <c r="I33" i="14"/>
  <c r="C26" i="14"/>
  <c r="C27" i="14"/>
  <c r="C24" i="14"/>
  <c r="C23" i="14"/>
  <c r="C6" i="14"/>
  <c r="D6" i="14"/>
  <c r="E6" i="14"/>
  <c r="C20" i="14"/>
  <c r="C18" i="14"/>
  <c r="C19" i="14"/>
  <c r="C14" i="14"/>
  <c r="G11" i="14"/>
  <c r="F11" i="14"/>
  <c r="E11" i="14"/>
  <c r="C105" i="7" l="1"/>
  <c r="D103" i="7"/>
  <c r="E103" i="7" s="1"/>
  <c r="D37" i="14"/>
  <c r="C3" i="14"/>
  <c r="C2" i="14"/>
  <c r="D2" i="14" s="1"/>
  <c r="E2" i="14" s="1"/>
  <c r="C5" i="14"/>
  <c r="D5" i="14" s="1"/>
  <c r="E5" i="14" s="1"/>
  <c r="I5" i="14" s="1"/>
  <c r="C4" i="14"/>
  <c r="D4" i="14" s="1"/>
  <c r="E4" i="14" s="1"/>
  <c r="I4" i="14" s="1"/>
  <c r="D3" i="14"/>
  <c r="E3" i="14" s="1"/>
  <c r="I3" i="14" s="1"/>
  <c r="D104" i="7" l="1"/>
  <c r="E104" i="7" s="1"/>
  <c r="C106" i="7"/>
  <c r="H5" i="14"/>
  <c r="H4" i="14"/>
  <c r="H3" i="14"/>
  <c r="I2" i="14"/>
  <c r="H2" i="14"/>
  <c r="G219" i="13"/>
  <c r="H219" i="13"/>
  <c r="G220" i="13"/>
  <c r="H220" i="13"/>
  <c r="G221" i="13"/>
  <c r="H221" i="13"/>
  <c r="G222" i="13"/>
  <c r="H222" i="13"/>
  <c r="H218" i="13"/>
  <c r="G218" i="13"/>
  <c r="F222" i="13"/>
  <c r="F219" i="13"/>
  <c r="F220" i="13"/>
  <c r="F221" i="13"/>
  <c r="F218" i="13"/>
  <c r="P188" i="13"/>
  <c r="C158" i="13"/>
  <c r="C60" i="13"/>
  <c r="D105" i="7" l="1"/>
  <c r="E105" i="7" s="1"/>
  <c r="C107" i="7"/>
  <c r="F178" i="11"/>
  <c r="H115" i="11"/>
  <c r="D108" i="11"/>
  <c r="G114" i="11" s="1"/>
  <c r="D105" i="11"/>
  <c r="D106" i="11" s="1"/>
  <c r="J101" i="11" s="1"/>
  <c r="D104" i="11"/>
  <c r="D103" i="11"/>
  <c r="D102" i="11"/>
  <c r="D101" i="11"/>
  <c r="C108" i="7" l="1"/>
  <c r="D107" i="7" s="1"/>
  <c r="E107" i="7" s="1"/>
  <c r="D106" i="7"/>
  <c r="E106" i="7" s="1"/>
  <c r="H116" i="11"/>
  <c r="H117" i="11"/>
  <c r="H110" i="11"/>
  <c r="H118" i="11"/>
  <c r="H111" i="11"/>
  <c r="H119" i="11"/>
  <c r="H112" i="11"/>
  <c r="D121" i="11"/>
  <c r="H113" i="11"/>
  <c r="E122" i="11"/>
  <c r="H114" i="11"/>
  <c r="D122" i="11"/>
  <c r="D115" i="11"/>
  <c r="E115" i="11"/>
  <c r="F115" i="11"/>
  <c r="G115" i="11"/>
  <c r="D114" i="11"/>
  <c r="E114" i="11"/>
  <c r="F114" i="11"/>
  <c r="E105" i="11"/>
  <c r="J105" i="11" s="1"/>
  <c r="E106" i="11"/>
  <c r="J106" i="11" s="1"/>
  <c r="C119" i="11" s="1"/>
  <c r="E104" i="11"/>
  <c r="J104" i="11" s="1"/>
  <c r="G101" i="11"/>
  <c r="H101" i="11"/>
  <c r="I101" i="11"/>
  <c r="E103" i="11"/>
  <c r="H104" i="11" l="1"/>
  <c r="C117" i="11" s="1"/>
  <c r="H103" i="11"/>
  <c r="G103" i="11"/>
  <c r="C110" i="11" s="1"/>
  <c r="H105" i="11"/>
  <c r="C113" i="11"/>
  <c r="I105" i="11"/>
  <c r="C112" i="11" s="1"/>
  <c r="H106" i="11"/>
  <c r="C118" i="11" s="1"/>
  <c r="I104" i="11"/>
  <c r="G106" i="11"/>
  <c r="I106" i="11"/>
  <c r="C116" i="11" s="1"/>
  <c r="G104" i="11"/>
  <c r="G105" i="11"/>
  <c r="I103" i="11"/>
  <c r="C111" i="11" s="1"/>
  <c r="J103" i="11"/>
  <c r="E174" i="11"/>
  <c r="D174" i="11"/>
  <c r="C174" i="11"/>
  <c r="F173" i="11"/>
  <c r="F172" i="11"/>
  <c r="F171" i="11"/>
  <c r="D165" i="11"/>
  <c r="E165" i="11"/>
  <c r="D166" i="11"/>
  <c r="E166" i="11"/>
  <c r="D167" i="11"/>
  <c r="E167" i="11"/>
  <c r="C167" i="11"/>
  <c r="C166" i="11"/>
  <c r="C165" i="11"/>
  <c r="C114" i="11" l="1"/>
  <c r="C115" i="11"/>
  <c r="G120" i="11" s="1"/>
  <c r="F174" i="11"/>
  <c r="E66" i="11"/>
  <c r="D66" i="11"/>
  <c r="F65" i="11"/>
  <c r="F64" i="11"/>
  <c r="D60" i="11"/>
  <c r="E60" i="11"/>
  <c r="E59" i="11"/>
  <c r="D59" i="11"/>
  <c r="D38" i="11"/>
  <c r="D25" i="11"/>
  <c r="D12" i="11"/>
  <c r="E120" i="11" l="1"/>
  <c r="F120" i="11"/>
  <c r="D120" i="11"/>
  <c r="F66" i="11"/>
  <c r="G65" i="11" s="1"/>
  <c r="H240" i="10"/>
  <c r="D67" i="11" l="1"/>
  <c r="G64" i="11"/>
  <c r="I64" i="11"/>
  <c r="G200" i="10"/>
  <c r="G195" i="10"/>
  <c r="A106" i="10"/>
  <c r="A107" i="10"/>
  <c r="A108" i="10"/>
  <c r="A105" i="10"/>
  <c r="D69" i="10"/>
  <c r="N63" i="10" s="1"/>
  <c r="C69" i="10"/>
  <c r="C70" i="10" s="1"/>
  <c r="B69" i="10"/>
  <c r="D60" i="10"/>
  <c r="D61" i="10"/>
  <c r="D62" i="10"/>
  <c r="D63" i="10"/>
  <c r="E63" i="10" s="1"/>
  <c r="D64" i="10"/>
  <c r="D65" i="10"/>
  <c r="E65" i="10" s="1"/>
  <c r="D66" i="10"/>
  <c r="E66" i="10" s="1"/>
  <c r="D67" i="10"/>
  <c r="D68" i="10"/>
  <c r="D59" i="10"/>
  <c r="E23" i="10"/>
  <c r="N6" i="10" s="1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3" i="10"/>
  <c r="I9" i="10"/>
  <c r="D106" i="10"/>
  <c r="A109" i="10" l="1"/>
  <c r="E106" i="10"/>
  <c r="F11" i="10"/>
  <c r="F19" i="10"/>
  <c r="E64" i="10"/>
  <c r="E62" i="10"/>
  <c r="E59" i="10"/>
  <c r="E61" i="10"/>
  <c r="E68" i="10"/>
  <c r="E60" i="10"/>
  <c r="E67" i="10"/>
  <c r="B70" i="10"/>
  <c r="N61" i="10" s="1"/>
  <c r="F18" i="10"/>
  <c r="F10" i="10"/>
  <c r="F17" i="10"/>
  <c r="F9" i="10"/>
  <c r="F16" i="10"/>
  <c r="F15" i="10"/>
  <c r="F7" i="10"/>
  <c r="F8" i="10"/>
  <c r="F3" i="10"/>
  <c r="F22" i="10"/>
  <c r="F14" i="10"/>
  <c r="F6" i="10"/>
  <c r="F21" i="10"/>
  <c r="F13" i="10"/>
  <c r="F5" i="10"/>
  <c r="F20" i="10"/>
  <c r="F12" i="10"/>
  <c r="F4" i="10"/>
  <c r="A110" i="10" l="1"/>
  <c r="N60" i="10"/>
  <c r="N62" i="10" s="1"/>
  <c r="N4" i="10"/>
  <c r="N5" i="10" s="1"/>
  <c r="J9" i="10"/>
  <c r="A111" i="10" l="1"/>
  <c r="C142" i="9"/>
  <c r="C143" i="9" s="1"/>
  <c r="C144" i="9" s="1"/>
  <c r="C145" i="9"/>
  <c r="E100" i="9"/>
  <c r="A112" i="10" l="1"/>
  <c r="G58" i="9"/>
  <c r="C59" i="9"/>
  <c r="C60" i="9"/>
  <c r="C61" i="9"/>
  <c r="C62" i="9"/>
  <c r="C63" i="9"/>
  <c r="C64" i="9"/>
  <c r="C58" i="9"/>
  <c r="E65" i="9" l="1"/>
  <c r="E66" i="9" s="1"/>
  <c r="A113" i="10"/>
  <c r="D65" i="9"/>
  <c r="D66" i="9" s="1"/>
  <c r="F65" i="9"/>
  <c r="F66" i="9" s="1"/>
  <c r="G32" i="9"/>
  <c r="G33" i="9" s="1"/>
  <c r="G34" i="9" s="1"/>
  <c r="C25" i="9"/>
  <c r="A114" i="10" l="1"/>
  <c r="B360" i="8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374" i="8" s="1"/>
  <c r="B375" i="8" s="1"/>
  <c r="B376" i="8" s="1"/>
  <c r="B377" i="8" s="1"/>
  <c r="B378" i="8" s="1"/>
  <c r="B379" i="8" s="1"/>
  <c r="C380" i="8"/>
  <c r="C357" i="8"/>
  <c r="E330" i="8"/>
  <c r="D332" i="8"/>
  <c r="E332" i="8" s="1"/>
  <c r="D331" i="8"/>
  <c r="E331" i="8"/>
  <c r="B331" i="8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D333" i="8" l="1"/>
  <c r="A115" i="10"/>
  <c r="E333" i="8" l="1"/>
  <c r="D334" i="8"/>
  <c r="A116" i="10"/>
  <c r="A117" i="10" s="1"/>
  <c r="D335" i="8" l="1"/>
  <c r="E334" i="8"/>
  <c r="A118" i="10"/>
  <c r="D336" i="8" l="1"/>
  <c r="E335" i="8"/>
  <c r="A119" i="10"/>
  <c r="E336" i="8" l="1"/>
  <c r="D337" i="8"/>
  <c r="A120" i="10"/>
  <c r="D325" i="8"/>
  <c r="E325" i="8"/>
  <c r="D316" i="8"/>
  <c r="D321" i="8" s="1"/>
  <c r="D319" i="8"/>
  <c r="D318" i="8"/>
  <c r="D317" i="8"/>
  <c r="E337" i="8" l="1"/>
  <c r="D338" i="8"/>
  <c r="A121" i="10"/>
  <c r="C331" i="8"/>
  <c r="C339" i="8"/>
  <c r="C347" i="8"/>
  <c r="C332" i="8"/>
  <c r="C340" i="8"/>
  <c r="C348" i="8"/>
  <c r="C333" i="8"/>
  <c r="C341" i="8"/>
  <c r="C349" i="8"/>
  <c r="C334" i="8"/>
  <c r="C342" i="8"/>
  <c r="C330" i="8"/>
  <c r="C350" i="8" s="1"/>
  <c r="F330" i="8" s="1"/>
  <c r="C335" i="8"/>
  <c r="C343" i="8"/>
  <c r="C336" i="8"/>
  <c r="C344" i="8"/>
  <c r="C337" i="8"/>
  <c r="C345" i="8"/>
  <c r="C338" i="8"/>
  <c r="C346" i="8"/>
  <c r="D320" i="8"/>
  <c r="C306" i="8"/>
  <c r="E310" i="8" s="1"/>
  <c r="D176" i="8"/>
  <c r="C179" i="8" s="1"/>
  <c r="C170" i="8"/>
  <c r="C171" i="8"/>
  <c r="C172" i="8"/>
  <c r="A67" i="8"/>
  <c r="A68" i="8" s="1"/>
  <c r="A69" i="8" s="1"/>
  <c r="B64" i="8"/>
  <c r="C4" i="8"/>
  <c r="C5" i="8" s="1"/>
  <c r="E338" i="8" l="1"/>
  <c r="D339" i="8"/>
  <c r="E339" i="8" s="1"/>
  <c r="A122" i="10"/>
  <c r="H310" i="8"/>
  <c r="I310" i="8"/>
  <c r="J310" i="8"/>
  <c r="K310" i="8"/>
  <c r="G310" i="8"/>
  <c r="F310" i="8" s="1"/>
  <c r="C177" i="8"/>
  <c r="C178" i="8" s="1"/>
  <c r="C173" i="8"/>
  <c r="D178" i="8"/>
  <c r="A70" i="8"/>
  <c r="A71" i="8" s="1"/>
  <c r="A72" i="8" s="1"/>
  <c r="A73" i="8" s="1"/>
  <c r="B69" i="8"/>
  <c r="B66" i="8"/>
  <c r="D66" i="8" s="1"/>
  <c r="E66" i="8" s="1"/>
  <c r="B68" i="8"/>
  <c r="B67" i="8"/>
  <c r="E63" i="7"/>
  <c r="G37" i="7"/>
  <c r="H38" i="7"/>
  <c r="G38" i="7"/>
  <c r="C32" i="7"/>
  <c r="B31" i="7"/>
  <c r="A123" i="10" l="1"/>
  <c r="B70" i="8"/>
  <c r="B71" i="8"/>
  <c r="F335" i="8"/>
  <c r="F337" i="8"/>
  <c r="F331" i="8"/>
  <c r="F333" i="8"/>
  <c r="F339" i="8"/>
  <c r="F334" i="8"/>
  <c r="F336" i="8"/>
  <c r="F338" i="8"/>
  <c r="F332" i="8"/>
  <c r="B72" i="8"/>
  <c r="C66" i="8"/>
  <c r="B73" i="8"/>
  <c r="A74" i="8"/>
  <c r="C13" i="7"/>
  <c r="A124" i="10" l="1"/>
  <c r="F340" i="8"/>
  <c r="G330" i="8" s="1"/>
  <c r="B74" i="8"/>
  <c r="A75" i="8"/>
  <c r="F148" i="6"/>
  <c r="A125" i="10" l="1"/>
  <c r="G332" i="8"/>
  <c r="G337" i="8"/>
  <c r="G331" i="8"/>
  <c r="G333" i="8"/>
  <c r="G339" i="8"/>
  <c r="G334" i="8"/>
  <c r="G338" i="8"/>
  <c r="G335" i="8"/>
  <c r="G336" i="8"/>
  <c r="A76" i="8"/>
  <c r="B75" i="8"/>
  <c r="D246" i="5"/>
  <c r="F246" i="5"/>
  <c r="F247" i="5" s="1"/>
  <c r="F248" i="5" s="1"/>
  <c r="F249" i="5" s="1"/>
  <c r="F250" i="5" s="1"/>
  <c r="F251" i="5" s="1"/>
  <c r="F252" i="5" s="1"/>
  <c r="F253" i="5" s="1"/>
  <c r="F254" i="5" s="1"/>
  <c r="F255" i="5" s="1"/>
  <c r="G246" i="5"/>
  <c r="G247" i="5" s="1"/>
  <c r="G248" i="5" s="1"/>
  <c r="G249" i="5" s="1"/>
  <c r="G250" i="5" s="1"/>
  <c r="G251" i="5" s="1"/>
  <c r="G252" i="5" s="1"/>
  <c r="G253" i="5" s="1"/>
  <c r="G254" i="5" s="1"/>
  <c r="G255" i="5" s="1"/>
  <c r="G256" i="5" s="1"/>
  <c r="G257" i="5" s="1"/>
  <c r="G258" i="5" s="1"/>
  <c r="G259" i="5" s="1"/>
  <c r="G260" i="5" s="1"/>
  <c r="G261" i="5" s="1"/>
  <c r="G262" i="5" s="1"/>
  <c r="G263" i="5" s="1"/>
  <c r="G264" i="5" s="1"/>
  <c r="H246" i="5"/>
  <c r="H247" i="5" s="1"/>
  <c r="H248" i="5" s="1"/>
  <c r="H249" i="5" s="1"/>
  <c r="H250" i="5" s="1"/>
  <c r="H251" i="5" s="1"/>
  <c r="H252" i="5" s="1"/>
  <c r="H253" i="5" s="1"/>
  <c r="H254" i="5" s="1"/>
  <c r="H255" i="5" s="1"/>
  <c r="H256" i="5" s="1"/>
  <c r="H257" i="5" s="1"/>
  <c r="H258" i="5" s="1"/>
  <c r="H259" i="5" s="1"/>
  <c r="H260" i="5" s="1"/>
  <c r="H261" i="5" s="1"/>
  <c r="H262" i="5" s="1"/>
  <c r="H263" i="5" s="1"/>
  <c r="H264" i="5" s="1"/>
  <c r="I246" i="5"/>
  <c r="I247" i="5" s="1"/>
  <c r="I248" i="5" s="1"/>
  <c r="I249" i="5" s="1"/>
  <c r="I250" i="5" s="1"/>
  <c r="I251" i="5" s="1"/>
  <c r="I252" i="5" s="1"/>
  <c r="I253" i="5" s="1"/>
  <c r="I254" i="5" s="1"/>
  <c r="I255" i="5" s="1"/>
  <c r="I256" i="5" s="1"/>
  <c r="I257" i="5" s="1"/>
  <c r="I258" i="5" s="1"/>
  <c r="I259" i="5" s="1"/>
  <c r="I260" i="5" s="1"/>
  <c r="I261" i="5" s="1"/>
  <c r="I262" i="5" s="1"/>
  <c r="I263" i="5" s="1"/>
  <c r="I264" i="5" s="1"/>
  <c r="D247" i="5"/>
  <c r="D248" i="5" s="1"/>
  <c r="D249" i="5" s="1"/>
  <c r="D250" i="5" s="1"/>
  <c r="D251" i="5" s="1"/>
  <c r="D252" i="5" s="1"/>
  <c r="D253" i="5" s="1"/>
  <c r="D254" i="5" s="1"/>
  <c r="D255" i="5" s="1"/>
  <c r="D256" i="5" s="1"/>
  <c r="D257" i="5" s="1"/>
  <c r="D258" i="5" s="1"/>
  <c r="D259" i="5" s="1"/>
  <c r="D260" i="5" s="1"/>
  <c r="D261" i="5" s="1"/>
  <c r="D262" i="5" s="1"/>
  <c r="D263" i="5" s="1"/>
  <c r="D264" i="5" s="1"/>
  <c r="F256" i="5"/>
  <c r="F257" i="5" s="1"/>
  <c r="F258" i="5" s="1"/>
  <c r="F259" i="5" s="1"/>
  <c r="F260" i="5" s="1"/>
  <c r="F261" i="5" s="1"/>
  <c r="F262" i="5" s="1"/>
  <c r="F263" i="5" s="1"/>
  <c r="F264" i="5" s="1"/>
  <c r="E245" i="5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F245" i="5"/>
  <c r="G245" i="5"/>
  <c r="H245" i="5"/>
  <c r="I245" i="5"/>
  <c r="C246" i="5"/>
  <c r="C247" i="5"/>
  <c r="C248" i="5" s="1"/>
  <c r="C249" i="5" s="1"/>
  <c r="C250" i="5" s="1"/>
  <c r="C251" i="5" s="1"/>
  <c r="C252" i="5" s="1"/>
  <c r="C253" i="5" s="1"/>
  <c r="C254" i="5" s="1"/>
  <c r="C255" i="5" s="1"/>
  <c r="C256" i="5" s="1"/>
  <c r="C257" i="5" s="1"/>
  <c r="C258" i="5" s="1"/>
  <c r="C259" i="5" s="1"/>
  <c r="C260" i="5" s="1"/>
  <c r="C261" i="5" s="1"/>
  <c r="C262" i="5" s="1"/>
  <c r="C263" i="5" s="1"/>
  <c r="C264" i="5" s="1"/>
  <c r="D245" i="5"/>
  <c r="C245" i="5"/>
  <c r="F244" i="5"/>
  <c r="B246" i="5"/>
  <c r="B247" i="5"/>
  <c r="B248" i="5"/>
  <c r="B249" i="5"/>
  <c r="B250" i="5"/>
  <c r="B251" i="5"/>
  <c r="B252" i="5"/>
  <c r="B253" i="5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45" i="5"/>
  <c r="A126" i="10" l="1"/>
  <c r="B76" i="8"/>
  <c r="A77" i="8"/>
  <c r="H217" i="5"/>
  <c r="H216" i="5"/>
  <c r="H213" i="5"/>
  <c r="H209" i="5"/>
  <c r="H230" i="5"/>
  <c r="H207" i="5"/>
  <c r="H208" i="5"/>
  <c r="H210" i="5"/>
  <c r="H211" i="5"/>
  <c r="H212" i="5"/>
  <c r="H214" i="5"/>
  <c r="H215" i="5"/>
  <c r="G180" i="5"/>
  <c r="A127" i="10" l="1"/>
  <c r="B77" i="8"/>
  <c r="A78" i="8"/>
  <c r="B55" i="5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C55" i="5"/>
  <c r="H8" i="5"/>
  <c r="H9" i="5"/>
  <c r="H10" i="5"/>
  <c r="H11" i="5"/>
  <c r="H12" i="5"/>
  <c r="H7" i="5"/>
  <c r="A128" i="10" l="1"/>
  <c r="B78" i="8"/>
  <c r="A79" i="8"/>
  <c r="D3" i="5"/>
  <c r="A129" i="10" l="1"/>
  <c r="A80" i="8"/>
  <c r="B79" i="8"/>
  <c r="C94" i="4"/>
  <c r="A130" i="10" l="1"/>
  <c r="B80" i="8"/>
  <c r="A81" i="8"/>
  <c r="J23" i="4"/>
  <c r="J24" i="4"/>
  <c r="J25" i="4"/>
  <c r="J26" i="4"/>
  <c r="J27" i="4"/>
  <c r="J28" i="4"/>
  <c r="J22" i="4"/>
  <c r="A131" i="10" l="1"/>
  <c r="B81" i="8"/>
  <c r="A82" i="8"/>
  <c r="C118" i="16"/>
  <c r="G117" i="16"/>
  <c r="E117" i="16"/>
  <c r="C117" i="16"/>
  <c r="F116" i="16"/>
  <c r="E116" i="16"/>
  <c r="D116" i="16"/>
  <c r="C116" i="16"/>
  <c r="E115" i="16"/>
  <c r="C115" i="16"/>
  <c r="D113" i="16"/>
  <c r="B92" i="16"/>
  <c r="B91" i="16"/>
  <c r="E91" i="16" s="1"/>
  <c r="E90" i="16"/>
  <c r="D90" i="16"/>
  <c r="C90" i="16"/>
  <c r="C87" i="16"/>
  <c r="F87" i="16" s="1"/>
  <c r="C86" i="16"/>
  <c r="F86" i="16" s="1"/>
  <c r="E85" i="16"/>
  <c r="H85" i="16" s="1"/>
  <c r="D85" i="16"/>
  <c r="G85" i="16" s="1"/>
  <c r="C85" i="16"/>
  <c r="F85" i="16" s="1"/>
  <c r="I85" i="16" s="1"/>
  <c r="F82" i="16"/>
  <c r="E82" i="16"/>
  <c r="D87" i="16" s="1"/>
  <c r="G87" i="16" s="1"/>
  <c r="D82" i="16"/>
  <c r="C82" i="16"/>
  <c r="B61" i="16"/>
  <c r="D60" i="16"/>
  <c r="B60" i="16"/>
  <c r="C60" i="16" s="1"/>
  <c r="D59" i="16"/>
  <c r="C59" i="16"/>
  <c r="F56" i="16"/>
  <c r="E56" i="16"/>
  <c r="G56" i="16" s="1"/>
  <c r="C56" i="16"/>
  <c r="D55" i="16"/>
  <c r="F55" i="16" s="1"/>
  <c r="C55" i="16"/>
  <c r="E55" i="16" s="1"/>
  <c r="F52" i="16"/>
  <c r="D56" i="16" s="1"/>
  <c r="E52" i="16"/>
  <c r="D52" i="16"/>
  <c r="C52" i="16"/>
  <c r="A132" i="10" l="1"/>
  <c r="B82" i="8"/>
  <c r="A83" i="8"/>
  <c r="D117" i="16"/>
  <c r="F117" i="16" s="1"/>
  <c r="H117" i="16" s="1"/>
  <c r="G116" i="16"/>
  <c r="H116" i="16"/>
  <c r="B93" i="16"/>
  <c r="D92" i="16"/>
  <c r="F92" i="16" s="1"/>
  <c r="E92" i="16"/>
  <c r="I86" i="16"/>
  <c r="C92" i="16"/>
  <c r="E59" i="16"/>
  <c r="G55" i="16"/>
  <c r="F91" i="16"/>
  <c r="I87" i="16"/>
  <c r="F90" i="16"/>
  <c r="E118" i="16"/>
  <c r="G118" i="16" s="1"/>
  <c r="F115" i="16"/>
  <c r="H115" i="16" s="1"/>
  <c r="G115" i="16"/>
  <c r="D61" i="16"/>
  <c r="B62" i="16"/>
  <c r="C61" i="16"/>
  <c r="E61" i="16" s="1"/>
  <c r="E60" i="16"/>
  <c r="E87" i="16"/>
  <c r="H87" i="16" s="1"/>
  <c r="E86" i="16"/>
  <c r="H86" i="16" s="1"/>
  <c r="D86" i="16"/>
  <c r="G86" i="16" s="1"/>
  <c r="D118" i="16"/>
  <c r="F118" i="16" s="1"/>
  <c r="C91" i="16"/>
  <c r="D91" i="16"/>
  <c r="A133" i="10" l="1"/>
  <c r="A84" i="8"/>
  <c r="B83" i="8"/>
  <c r="D93" i="16"/>
  <c r="C93" i="16"/>
  <c r="B94" i="16"/>
  <c r="E93" i="16"/>
  <c r="H118" i="16"/>
  <c r="C62" i="16"/>
  <c r="B63" i="16"/>
  <c r="D62" i="16"/>
  <c r="A134" i="10" l="1"/>
  <c r="B84" i="8"/>
  <c r="A85" i="8"/>
  <c r="C63" i="16"/>
  <c r="B64" i="16"/>
  <c r="D63" i="16"/>
  <c r="E62" i="16"/>
  <c r="F93" i="16"/>
  <c r="B95" i="16"/>
  <c r="E94" i="16"/>
  <c r="D94" i="16"/>
  <c r="C94" i="16"/>
  <c r="B85" i="8" l="1"/>
  <c r="A86" i="8"/>
  <c r="B96" i="16"/>
  <c r="E95" i="16"/>
  <c r="C95" i="16"/>
  <c r="D95" i="16"/>
  <c r="C64" i="16"/>
  <c r="B65" i="16"/>
  <c r="D64" i="16"/>
  <c r="F94" i="16"/>
  <c r="E63" i="16"/>
  <c r="B86" i="8" l="1"/>
  <c r="A87" i="8"/>
  <c r="D65" i="16"/>
  <c r="B66" i="16"/>
  <c r="C65" i="16"/>
  <c r="E65" i="16" s="1"/>
  <c r="E64" i="16"/>
  <c r="F95" i="16"/>
  <c r="E96" i="16"/>
  <c r="C96" i="16"/>
  <c r="D96" i="16"/>
  <c r="B97" i="16"/>
  <c r="A88" i="8" l="1"/>
  <c r="B87" i="8"/>
  <c r="F96" i="16"/>
  <c r="C66" i="16"/>
  <c r="D66" i="16"/>
  <c r="B67" i="16"/>
  <c r="E97" i="16"/>
  <c r="C97" i="16"/>
  <c r="B98" i="16"/>
  <c r="D97" i="16"/>
  <c r="B88" i="8" l="1"/>
  <c r="A89" i="8"/>
  <c r="C98" i="16"/>
  <c r="B99" i="16"/>
  <c r="E98" i="16"/>
  <c r="D98" i="16"/>
  <c r="F97" i="16"/>
  <c r="B68" i="16"/>
  <c r="D67" i="16"/>
  <c r="C67" i="16"/>
  <c r="E67" i="16" s="1"/>
  <c r="E66" i="16"/>
  <c r="B89" i="8" l="1"/>
  <c r="A90" i="8"/>
  <c r="C68" i="16"/>
  <c r="B69" i="16"/>
  <c r="D68" i="16"/>
  <c r="D99" i="16"/>
  <c r="C99" i="16"/>
  <c r="E99" i="16"/>
  <c r="B100" i="16"/>
  <c r="F98" i="16"/>
  <c r="B90" i="8" l="1"/>
  <c r="A91" i="8"/>
  <c r="D100" i="16"/>
  <c r="B101" i="16"/>
  <c r="E100" i="16"/>
  <c r="C100" i="16"/>
  <c r="F100" i="16" s="1"/>
  <c r="F99" i="16"/>
  <c r="D69" i="16"/>
  <c r="C69" i="16"/>
  <c r="E69" i="16" s="1"/>
  <c r="B70" i="16"/>
  <c r="E68" i="16"/>
  <c r="A92" i="8" l="1"/>
  <c r="B91" i="8"/>
  <c r="D101" i="16"/>
  <c r="C101" i="16"/>
  <c r="F101" i="16" s="1"/>
  <c r="B102" i="16"/>
  <c r="E101" i="16"/>
  <c r="C70" i="16"/>
  <c r="B71" i="16"/>
  <c r="D70" i="16"/>
  <c r="B92" i="8" l="1"/>
  <c r="A93" i="8"/>
  <c r="D71" i="16"/>
  <c r="B72" i="16"/>
  <c r="C71" i="16"/>
  <c r="E71" i="16" s="1"/>
  <c r="B103" i="16"/>
  <c r="E102" i="16"/>
  <c r="D102" i="16"/>
  <c r="C102" i="16"/>
  <c r="F102" i="16" s="1"/>
  <c r="E70" i="16"/>
  <c r="B93" i="8" l="1"/>
  <c r="A94" i="8"/>
  <c r="C72" i="16"/>
  <c r="B73" i="16"/>
  <c r="D72" i="16"/>
  <c r="B104" i="16"/>
  <c r="E103" i="16"/>
  <c r="D103" i="16"/>
  <c r="C103" i="16"/>
  <c r="F103" i="16" s="1"/>
  <c r="A95" i="8" l="1"/>
  <c r="B94" i="8"/>
  <c r="E104" i="16"/>
  <c r="C104" i="16"/>
  <c r="D104" i="16"/>
  <c r="B105" i="16"/>
  <c r="B74" i="16"/>
  <c r="D73" i="16"/>
  <c r="C73" i="16"/>
  <c r="E73" i="16" s="1"/>
  <c r="E72" i="16"/>
  <c r="A96" i="8" l="1"/>
  <c r="B95" i="8"/>
  <c r="C74" i="16"/>
  <c r="B75" i="16"/>
  <c r="D74" i="16"/>
  <c r="E105" i="16"/>
  <c r="B106" i="16"/>
  <c r="D105" i="16"/>
  <c r="C105" i="16"/>
  <c r="F105" i="16" s="1"/>
  <c r="F104" i="16"/>
  <c r="B96" i="8" l="1"/>
  <c r="A97" i="8"/>
  <c r="D75" i="16"/>
  <c r="B76" i="16"/>
  <c r="C75" i="16"/>
  <c r="E75" i="16" s="1"/>
  <c r="C106" i="16"/>
  <c r="B107" i="16"/>
  <c r="E106" i="16"/>
  <c r="D106" i="16"/>
  <c r="E74" i="16"/>
  <c r="B97" i="8" l="1"/>
  <c r="A98" i="8"/>
  <c r="D107" i="16"/>
  <c r="E107" i="16"/>
  <c r="C107" i="16"/>
  <c r="F107" i="16" s="1"/>
  <c r="B108" i="16"/>
  <c r="C76" i="16"/>
  <c r="D76" i="16"/>
  <c r="B77" i="16"/>
  <c r="F106" i="16"/>
  <c r="B98" i="8" l="1"/>
  <c r="A99" i="8"/>
  <c r="B78" i="16"/>
  <c r="D77" i="16"/>
  <c r="C77" i="16"/>
  <c r="E77" i="16" s="1"/>
  <c r="E76" i="16"/>
  <c r="B109" i="16"/>
  <c r="E108" i="16"/>
  <c r="D108" i="16"/>
  <c r="C108" i="16"/>
  <c r="F108" i="16" s="1"/>
  <c r="A100" i="8" l="1"/>
  <c r="B99" i="8"/>
  <c r="D109" i="16"/>
  <c r="B110" i="16"/>
  <c r="C109" i="16"/>
  <c r="F109" i="16" s="1"/>
  <c r="E109" i="16"/>
  <c r="C78" i="16"/>
  <c r="E78" i="16" s="1"/>
  <c r="B79" i="16"/>
  <c r="D78" i="16"/>
  <c r="B100" i="8" l="1"/>
  <c r="A101" i="8"/>
  <c r="D110" i="16"/>
  <c r="E110" i="16"/>
  <c r="C110" i="16"/>
  <c r="F110" i="16" s="1"/>
  <c r="D79" i="16"/>
  <c r="C79" i="16"/>
  <c r="E79" i="16" s="1"/>
  <c r="B101" i="8" l="1"/>
  <c r="A102" i="8"/>
  <c r="J367" i="15"/>
  <c r="I367" i="15"/>
  <c r="J366" i="15"/>
  <c r="J365" i="15"/>
  <c r="J364" i="15"/>
  <c r="J363" i="15"/>
  <c r="J362" i="15"/>
  <c r="J361" i="15"/>
  <c r="J360" i="15"/>
  <c r="J305" i="15"/>
  <c r="I305" i="15"/>
  <c r="J304" i="15"/>
  <c r="J303" i="15"/>
  <c r="J302" i="15"/>
  <c r="J301" i="15"/>
  <c r="J300" i="15"/>
  <c r="J299" i="15"/>
  <c r="J298" i="15"/>
  <c r="J243" i="15"/>
  <c r="I243" i="15"/>
  <c r="J242" i="15"/>
  <c r="J241" i="15"/>
  <c r="J240" i="15"/>
  <c r="J239" i="15"/>
  <c r="J238" i="15"/>
  <c r="J237" i="15"/>
  <c r="J236" i="15"/>
  <c r="J181" i="15"/>
  <c r="I181" i="15"/>
  <c r="J180" i="15"/>
  <c r="J179" i="15"/>
  <c r="J178" i="15"/>
  <c r="J177" i="15"/>
  <c r="J176" i="15"/>
  <c r="J175" i="15"/>
  <c r="C133" i="15"/>
  <c r="I118" i="15"/>
  <c r="L170" i="15" s="1"/>
  <c r="H118" i="15"/>
  <c r="L163" i="15" s="1"/>
  <c r="G118" i="15"/>
  <c r="L156" i="15" s="1"/>
  <c r="F118" i="15"/>
  <c r="L149" i="15" s="1"/>
  <c r="E118" i="15"/>
  <c r="L142" i="15" s="1"/>
  <c r="D118" i="15"/>
  <c r="C118" i="15"/>
  <c r="L128" i="15" s="1"/>
  <c r="I117" i="15"/>
  <c r="L169" i="15" s="1"/>
  <c r="H117" i="15"/>
  <c r="L162" i="15" s="1"/>
  <c r="G117" i="15"/>
  <c r="L155" i="15" s="1"/>
  <c r="F117" i="15"/>
  <c r="L148" i="15" s="1"/>
  <c r="E117" i="15"/>
  <c r="L141" i="15" s="1"/>
  <c r="D117" i="15"/>
  <c r="L134" i="15" s="1"/>
  <c r="C117" i="15"/>
  <c r="I116" i="15"/>
  <c r="L168" i="15" s="1"/>
  <c r="H116" i="15"/>
  <c r="G116" i="15"/>
  <c r="L154" i="15" s="1"/>
  <c r="F116" i="15"/>
  <c r="L147" i="15" s="1"/>
  <c r="E116" i="15"/>
  <c r="L140" i="15" s="1"/>
  <c r="D116" i="15"/>
  <c r="C116" i="15"/>
  <c r="L126" i="15" s="1"/>
  <c r="I115" i="15"/>
  <c r="L167" i="15" s="1"/>
  <c r="H115" i="15"/>
  <c r="L160" i="15" s="1"/>
  <c r="G115" i="15"/>
  <c r="F115" i="15"/>
  <c r="L146" i="15" s="1"/>
  <c r="E115" i="15"/>
  <c r="L139" i="15" s="1"/>
  <c r="D115" i="15"/>
  <c r="C115" i="15"/>
  <c r="I114" i="15"/>
  <c r="L166" i="15" s="1"/>
  <c r="H114" i="15"/>
  <c r="G114" i="15"/>
  <c r="L152" i="15" s="1"/>
  <c r="F114" i="15"/>
  <c r="L145" i="15" s="1"/>
  <c r="E114" i="15"/>
  <c r="L138" i="15" s="1"/>
  <c r="D114" i="15"/>
  <c r="L131" i="15" s="1"/>
  <c r="C114" i="15"/>
  <c r="L124" i="15" s="1"/>
  <c r="I113" i="15"/>
  <c r="L165" i="15" s="1"/>
  <c r="H113" i="15"/>
  <c r="L158" i="15" s="1"/>
  <c r="G113" i="15"/>
  <c r="F113" i="15"/>
  <c r="L144" i="15" s="1"/>
  <c r="E113" i="15"/>
  <c r="L137" i="15" s="1"/>
  <c r="D113" i="15"/>
  <c r="L130" i="15" s="1"/>
  <c r="C113" i="15"/>
  <c r="I112" i="15"/>
  <c r="L164" i="15" s="1"/>
  <c r="H112" i="15"/>
  <c r="L157" i="15" s="1"/>
  <c r="G112" i="15"/>
  <c r="L150" i="15" s="1"/>
  <c r="F112" i="15"/>
  <c r="L143" i="15" s="1"/>
  <c r="E112" i="15"/>
  <c r="D112" i="15"/>
  <c r="C112" i="15"/>
  <c r="G70" i="15"/>
  <c r="G69" i="15"/>
  <c r="G68" i="15"/>
  <c r="G67" i="15"/>
  <c r="D67" i="15"/>
  <c r="G66" i="15"/>
  <c r="G65" i="15"/>
  <c r="G64" i="15"/>
  <c r="G63" i="15"/>
  <c r="D63" i="15"/>
  <c r="D64" i="15" s="1"/>
  <c r="D65" i="15" s="1"/>
  <c r="D66" i="15" s="1"/>
  <c r="G62" i="15"/>
  <c r="G61" i="15"/>
  <c r="G60" i="15"/>
  <c r="G59" i="15"/>
  <c r="D59" i="15"/>
  <c r="G58" i="15"/>
  <c r="E58" i="15"/>
  <c r="E62" i="15" s="1"/>
  <c r="E66" i="15" s="1"/>
  <c r="E70" i="15" s="1"/>
  <c r="G57" i="15"/>
  <c r="E57" i="15"/>
  <c r="E61" i="15" s="1"/>
  <c r="E65" i="15" s="1"/>
  <c r="E69" i="15" s="1"/>
  <c r="G56" i="15"/>
  <c r="E56" i="15"/>
  <c r="E60" i="15" s="1"/>
  <c r="G55" i="15"/>
  <c r="E55" i="15"/>
  <c r="D55" i="15"/>
  <c r="M39" i="15"/>
  <c r="L39" i="15"/>
  <c r="K39" i="15"/>
  <c r="J39" i="15"/>
  <c r="M38" i="15"/>
  <c r="L38" i="15"/>
  <c r="K38" i="15"/>
  <c r="J38" i="15"/>
  <c r="M37" i="15"/>
  <c r="L37" i="15"/>
  <c r="K37" i="15"/>
  <c r="J37" i="15"/>
  <c r="M36" i="15"/>
  <c r="L36" i="15"/>
  <c r="K36" i="15"/>
  <c r="J36" i="15"/>
  <c r="M35" i="15"/>
  <c r="L35" i="15"/>
  <c r="K35" i="15"/>
  <c r="J35" i="15"/>
  <c r="M34" i="15"/>
  <c r="L34" i="15"/>
  <c r="K34" i="15"/>
  <c r="J34" i="15"/>
  <c r="M33" i="15"/>
  <c r="L33" i="15"/>
  <c r="K33" i="15"/>
  <c r="J33" i="15"/>
  <c r="D33" i="15"/>
  <c r="M32" i="15"/>
  <c r="L32" i="15"/>
  <c r="K32" i="15"/>
  <c r="J32" i="15"/>
  <c r="D32" i="15"/>
  <c r="D35" i="15" s="1"/>
  <c r="M31" i="15"/>
  <c r="L31" i="15"/>
  <c r="K31" i="15"/>
  <c r="J31" i="15"/>
  <c r="D31" i="15"/>
  <c r="D24" i="15"/>
  <c r="G24" i="15" s="1"/>
  <c r="D23" i="15"/>
  <c r="D22" i="15"/>
  <c r="G19" i="15"/>
  <c r="G18" i="15"/>
  <c r="F7" i="15"/>
  <c r="F8" i="15" s="1"/>
  <c r="D7" i="15"/>
  <c r="E5" i="15"/>
  <c r="E4" i="15" s="1"/>
  <c r="E6" i="15" s="1"/>
  <c r="I4" i="15"/>
  <c r="I3" i="15"/>
  <c r="I2" i="15"/>
  <c r="D37" i="15" l="1"/>
  <c r="J375" i="15"/>
  <c r="I376" i="15" s="1"/>
  <c r="I65" i="15"/>
  <c r="J369" i="15"/>
  <c r="C376" i="15" s="1"/>
  <c r="G78" i="15"/>
  <c r="J183" i="15"/>
  <c r="C190" i="15" s="1"/>
  <c r="C183" i="15" s="1"/>
  <c r="J374" i="15"/>
  <c r="H376" i="15" s="1"/>
  <c r="L122" i="15"/>
  <c r="E59" i="15"/>
  <c r="E63" i="15" s="1"/>
  <c r="E67" i="15" s="1"/>
  <c r="F67" i="15" s="1"/>
  <c r="H67" i="15" s="1"/>
  <c r="G72" i="15"/>
  <c r="G71" i="15"/>
  <c r="E64" i="15"/>
  <c r="E68" i="15" s="1"/>
  <c r="J185" i="15"/>
  <c r="E190" i="15" s="1"/>
  <c r="H22" i="15"/>
  <c r="G22" i="15"/>
  <c r="J312" i="15"/>
  <c r="H314" i="15" s="1"/>
  <c r="J370" i="15"/>
  <c r="J372" i="15"/>
  <c r="I372" i="15" s="1"/>
  <c r="J371" i="15"/>
  <c r="J113" i="15"/>
  <c r="J309" i="15"/>
  <c r="E314" i="15" s="1"/>
  <c r="J307" i="15"/>
  <c r="J251" i="15"/>
  <c r="I252" i="15" s="1"/>
  <c r="D34" i="15"/>
  <c r="J373" i="15"/>
  <c r="L151" i="15"/>
  <c r="J308" i="15"/>
  <c r="F11" i="15"/>
  <c r="J187" i="15"/>
  <c r="H24" i="15"/>
  <c r="J189" i="15"/>
  <c r="I190" i="15" s="1"/>
  <c r="I189" i="15" s="1"/>
  <c r="J186" i="15"/>
  <c r="J313" i="15"/>
  <c r="I314" i="15" s="1"/>
  <c r="D8" i="15"/>
  <c r="I119" i="15"/>
  <c r="J188" i="15"/>
  <c r="H190" i="15" s="1"/>
  <c r="J311" i="15"/>
  <c r="G314" i="15" s="1"/>
  <c r="D38" i="15"/>
  <c r="C119" i="15"/>
  <c r="J184" i="15"/>
  <c r="J246" i="15"/>
  <c r="D252" i="15" s="1"/>
  <c r="B102" i="8"/>
  <c r="A103" i="8"/>
  <c r="H23" i="15"/>
  <c r="G23" i="15"/>
  <c r="D56" i="15"/>
  <c r="F55" i="15"/>
  <c r="H55" i="15" s="1"/>
  <c r="L132" i="15"/>
  <c r="J115" i="15"/>
  <c r="D60" i="15"/>
  <c r="I60" i="15" s="1"/>
  <c r="E43" i="15" a="1"/>
  <c r="D39" i="15"/>
  <c r="D36" i="15"/>
  <c r="L129" i="15"/>
  <c r="J112" i="15"/>
  <c r="D119" i="15"/>
  <c r="L135" i="15"/>
  <c r="F66" i="15"/>
  <c r="H66" i="15" s="1"/>
  <c r="I55" i="15"/>
  <c r="I66" i="15"/>
  <c r="J116" i="15"/>
  <c r="L133" i="15"/>
  <c r="L159" i="15"/>
  <c r="J117" i="15"/>
  <c r="J249" i="15"/>
  <c r="J248" i="15"/>
  <c r="J250" i="15"/>
  <c r="L136" i="15"/>
  <c r="E119" i="15"/>
  <c r="D68" i="15"/>
  <c r="H119" i="15"/>
  <c r="J114" i="15"/>
  <c r="F119" i="15"/>
  <c r="J247" i="15"/>
  <c r="E252" i="15" s="1"/>
  <c r="E7" i="15"/>
  <c r="E8" i="15" s="1"/>
  <c r="F65" i="15"/>
  <c r="H65" i="15" s="1"/>
  <c r="L125" i="15"/>
  <c r="L161" i="15"/>
  <c r="J118" i="15"/>
  <c r="J245" i="15"/>
  <c r="L153" i="15"/>
  <c r="J310" i="15"/>
  <c r="L127" i="15"/>
  <c r="G119" i="15"/>
  <c r="L123" i="15"/>
  <c r="J119" i="15"/>
  <c r="C40" i="15" l="1"/>
  <c r="I371" i="15"/>
  <c r="H373" i="15"/>
  <c r="H370" i="15"/>
  <c r="H369" i="15"/>
  <c r="I369" i="15"/>
  <c r="S360" i="15"/>
  <c r="R360" i="15"/>
  <c r="H371" i="15"/>
  <c r="N240" i="15"/>
  <c r="M257" i="15" s="1"/>
  <c r="I374" i="15"/>
  <c r="D376" i="15"/>
  <c r="N360" i="15" s="1"/>
  <c r="H312" i="15"/>
  <c r="S365" i="15"/>
  <c r="I370" i="15"/>
  <c r="I59" i="15"/>
  <c r="F59" i="15"/>
  <c r="H59" i="15" s="1"/>
  <c r="F376" i="15"/>
  <c r="F369" i="15" s="1"/>
  <c r="H372" i="15"/>
  <c r="I63" i="15"/>
  <c r="I67" i="15"/>
  <c r="F63" i="15"/>
  <c r="H63" i="15" s="1"/>
  <c r="E76" i="15"/>
  <c r="E72" i="15"/>
  <c r="D245" i="15"/>
  <c r="F64" i="15"/>
  <c r="H64" i="15" s="1"/>
  <c r="R178" i="15"/>
  <c r="M223" i="15" s="1"/>
  <c r="I64" i="15"/>
  <c r="R177" i="15"/>
  <c r="M222" i="15" s="1"/>
  <c r="E71" i="15"/>
  <c r="G76" i="15"/>
  <c r="G190" i="15"/>
  <c r="G189" i="15" s="1"/>
  <c r="I68" i="15"/>
  <c r="G25" i="15"/>
  <c r="C28" i="15" s="1"/>
  <c r="I246" i="15"/>
  <c r="S364" i="15"/>
  <c r="S180" i="15"/>
  <c r="M232" i="15" s="1"/>
  <c r="H308" i="15"/>
  <c r="E250" i="15"/>
  <c r="S362" i="15"/>
  <c r="S175" i="15"/>
  <c r="M227" i="15" s="1"/>
  <c r="R361" i="15"/>
  <c r="I373" i="15"/>
  <c r="E307" i="15"/>
  <c r="S361" i="15"/>
  <c r="G376" i="15"/>
  <c r="G372" i="15" s="1"/>
  <c r="R303" i="15"/>
  <c r="M348" i="15" s="1"/>
  <c r="S176" i="15"/>
  <c r="M228" i="15" s="1"/>
  <c r="S363" i="15"/>
  <c r="H25" i="15"/>
  <c r="R300" i="15"/>
  <c r="M345" i="15" s="1"/>
  <c r="R302" i="15"/>
  <c r="M347" i="15" s="1"/>
  <c r="I188" i="15"/>
  <c r="R180" i="15"/>
  <c r="M225" i="15" s="1"/>
  <c r="S178" i="15"/>
  <c r="M230" i="15" s="1"/>
  <c r="G311" i="15"/>
  <c r="R364" i="15"/>
  <c r="Q302" i="15"/>
  <c r="M340" i="15" s="1"/>
  <c r="H311" i="15"/>
  <c r="R362" i="15"/>
  <c r="H309" i="15"/>
  <c r="H189" i="15"/>
  <c r="E376" i="15"/>
  <c r="O360" i="15" s="1"/>
  <c r="N236" i="15"/>
  <c r="R363" i="15"/>
  <c r="G307" i="15"/>
  <c r="C120" i="15"/>
  <c r="H185" i="15"/>
  <c r="N241" i="15"/>
  <c r="M258" i="15" s="1"/>
  <c r="D250" i="15"/>
  <c r="R175" i="15"/>
  <c r="M220" i="15" s="1"/>
  <c r="I185" i="15"/>
  <c r="D314" i="15"/>
  <c r="D307" i="15" s="1"/>
  <c r="C41" i="15"/>
  <c r="I184" i="15"/>
  <c r="D190" i="15"/>
  <c r="N178" i="15" s="1"/>
  <c r="M195" i="15" s="1"/>
  <c r="S237" i="15"/>
  <c r="M289" i="15" s="1"/>
  <c r="Q298" i="15"/>
  <c r="M336" i="15" s="1"/>
  <c r="D251" i="15"/>
  <c r="G308" i="15"/>
  <c r="G309" i="15"/>
  <c r="O175" i="15"/>
  <c r="M199" i="15" s="1"/>
  <c r="H307" i="15"/>
  <c r="C314" i="15"/>
  <c r="C307" i="15" s="1"/>
  <c r="K115" i="15"/>
  <c r="E187" i="15"/>
  <c r="I187" i="15"/>
  <c r="R298" i="15"/>
  <c r="M343" i="15" s="1"/>
  <c r="R299" i="15"/>
  <c r="M344" i="15" s="1"/>
  <c r="R179" i="15"/>
  <c r="M224" i="15" s="1"/>
  <c r="N242" i="15"/>
  <c r="M259" i="15" s="1"/>
  <c r="I311" i="15"/>
  <c r="S298" i="15"/>
  <c r="M350" i="15" s="1"/>
  <c r="S304" i="15"/>
  <c r="M356" i="15" s="1"/>
  <c r="S302" i="15"/>
  <c r="M354" i="15" s="1"/>
  <c r="I307" i="15"/>
  <c r="I308" i="15"/>
  <c r="S303" i="15"/>
  <c r="M355" i="15" s="1"/>
  <c r="S300" i="15"/>
  <c r="M352" i="15" s="1"/>
  <c r="S301" i="15"/>
  <c r="M353" i="15" s="1"/>
  <c r="E183" i="15"/>
  <c r="S179" i="15"/>
  <c r="M231" i="15" s="1"/>
  <c r="O176" i="15"/>
  <c r="M200" i="15" s="1"/>
  <c r="I186" i="15"/>
  <c r="H188" i="15"/>
  <c r="E11" i="15"/>
  <c r="H184" i="15"/>
  <c r="Q299" i="15"/>
  <c r="M337" i="15" s="1"/>
  <c r="S174" i="15"/>
  <c r="M226" i="15" s="1"/>
  <c r="R174" i="15"/>
  <c r="M219" i="15" s="1"/>
  <c r="O299" i="15"/>
  <c r="M323" i="15" s="1"/>
  <c r="O180" i="15"/>
  <c r="M204" i="15" s="1"/>
  <c r="O239" i="15"/>
  <c r="M263" i="15" s="1"/>
  <c r="S177" i="15"/>
  <c r="M229" i="15" s="1"/>
  <c r="F190" i="15"/>
  <c r="P177" i="15" s="1"/>
  <c r="M208" i="15" s="1"/>
  <c r="E186" i="15"/>
  <c r="H187" i="15"/>
  <c r="O174" i="15"/>
  <c r="M198" i="15" s="1"/>
  <c r="H186" i="15"/>
  <c r="E185" i="15"/>
  <c r="H183" i="15"/>
  <c r="S239" i="15"/>
  <c r="M291" i="15" s="1"/>
  <c r="C188" i="15"/>
  <c r="K116" i="15"/>
  <c r="Q300" i="15"/>
  <c r="M338" i="15" s="1"/>
  <c r="I183" i="15"/>
  <c r="R176" i="15"/>
  <c r="M221" i="15" s="1"/>
  <c r="A104" i="8"/>
  <c r="B103" i="8"/>
  <c r="D57" i="15"/>
  <c r="F56" i="15"/>
  <c r="I56" i="15"/>
  <c r="O236" i="15"/>
  <c r="M260" i="15" s="1"/>
  <c r="G252" i="15"/>
  <c r="Q236" i="15" s="1"/>
  <c r="M274" i="15" s="1"/>
  <c r="D249" i="15"/>
  <c r="O242" i="15"/>
  <c r="M266" i="15" s="1"/>
  <c r="M174" i="15"/>
  <c r="M184" i="15" s="1"/>
  <c r="D120" i="15"/>
  <c r="M178" i="15"/>
  <c r="M188" i="15" s="1"/>
  <c r="O300" i="15"/>
  <c r="M324" i="15" s="1"/>
  <c r="C185" i="15"/>
  <c r="I247" i="15"/>
  <c r="S238" i="15"/>
  <c r="M290" i="15" s="1"/>
  <c r="E309" i="15"/>
  <c r="F60" i="15"/>
  <c r="H60" i="15" s="1"/>
  <c r="D61" i="15"/>
  <c r="E246" i="15"/>
  <c r="D247" i="15"/>
  <c r="E248" i="15"/>
  <c r="C186" i="15"/>
  <c r="F120" i="15"/>
  <c r="E188" i="15"/>
  <c r="E189" i="15"/>
  <c r="K112" i="15"/>
  <c r="O177" i="15"/>
  <c r="M201" i="15" s="1"/>
  <c r="C187" i="15"/>
  <c r="K118" i="15"/>
  <c r="K114" i="15"/>
  <c r="E120" i="15"/>
  <c r="S241" i="15"/>
  <c r="M293" i="15" s="1"/>
  <c r="H252" i="15"/>
  <c r="R238" i="15" s="1"/>
  <c r="M283" i="15" s="1"/>
  <c r="M179" i="15"/>
  <c r="M189" i="15" s="1"/>
  <c r="D248" i="15"/>
  <c r="O241" i="15"/>
  <c r="M265" i="15" s="1"/>
  <c r="E251" i="15"/>
  <c r="M175" i="15"/>
  <c r="M185" i="15" s="1"/>
  <c r="K51" i="15"/>
  <c r="L50" i="15"/>
  <c r="M49" i="15"/>
  <c r="E49" i="15"/>
  <c r="F48" i="15"/>
  <c r="G47" i="15"/>
  <c r="H46" i="15"/>
  <c r="I45" i="15"/>
  <c r="J44" i="15"/>
  <c r="K43" i="15"/>
  <c r="J51" i="15"/>
  <c r="L49" i="15"/>
  <c r="M48" i="15"/>
  <c r="F47" i="15"/>
  <c r="G46" i="15"/>
  <c r="I44" i="15"/>
  <c r="J43" i="15"/>
  <c r="J50" i="15"/>
  <c r="M47" i="15"/>
  <c r="F46" i="15"/>
  <c r="G45" i="15"/>
  <c r="I43" i="15"/>
  <c r="K50" i="15"/>
  <c r="E48" i="15"/>
  <c r="H45" i="15"/>
  <c r="I51" i="15"/>
  <c r="K49" i="15"/>
  <c r="L48" i="15"/>
  <c r="E47" i="15"/>
  <c r="H44" i="15"/>
  <c r="G51" i="15"/>
  <c r="H50" i="15"/>
  <c r="I49" i="15"/>
  <c r="J48" i="15"/>
  <c r="K47" i="15"/>
  <c r="L46" i="15"/>
  <c r="M45" i="15"/>
  <c r="E45" i="15"/>
  <c r="F44" i="15"/>
  <c r="G43" i="15"/>
  <c r="M51" i="15"/>
  <c r="F50" i="15"/>
  <c r="H48" i="15"/>
  <c r="J46" i="15"/>
  <c r="L44" i="15"/>
  <c r="E43" i="15"/>
  <c r="L51" i="15"/>
  <c r="E50" i="15"/>
  <c r="I46" i="15"/>
  <c r="K44" i="15"/>
  <c r="L47" i="15"/>
  <c r="G44" i="15"/>
  <c r="J47" i="15"/>
  <c r="L45" i="15"/>
  <c r="M50" i="15"/>
  <c r="H47" i="15"/>
  <c r="H43" i="15"/>
  <c r="G48" i="15"/>
  <c r="H51" i="15"/>
  <c r="J49" i="15"/>
  <c r="E46" i="15"/>
  <c r="F51" i="15"/>
  <c r="E44" i="15"/>
  <c r="J45" i="15"/>
  <c r="H49" i="15"/>
  <c r="L43" i="15"/>
  <c r="K48" i="15"/>
  <c r="M46" i="15"/>
  <c r="E51" i="15"/>
  <c r="G49" i="15"/>
  <c r="I47" i="15"/>
  <c r="K45" i="15"/>
  <c r="M43" i="15"/>
  <c r="F49" i="15"/>
  <c r="I50" i="15"/>
  <c r="F45" i="15"/>
  <c r="M44" i="15"/>
  <c r="F43" i="15"/>
  <c r="I48" i="15"/>
  <c r="G50" i="15"/>
  <c r="K46" i="15"/>
  <c r="D134" i="15"/>
  <c r="G120" i="15"/>
  <c r="E245" i="15"/>
  <c r="S236" i="15"/>
  <c r="M288" i="15" s="1"/>
  <c r="N238" i="15"/>
  <c r="M255" i="15" s="1"/>
  <c r="O298" i="15"/>
  <c r="M322" i="15" s="1"/>
  <c r="O178" i="15"/>
  <c r="M202" i="15" s="1"/>
  <c r="H120" i="15"/>
  <c r="I309" i="15"/>
  <c r="S299" i="15"/>
  <c r="M351" i="15" s="1"/>
  <c r="F252" i="15"/>
  <c r="F247" i="15" s="1"/>
  <c r="I248" i="15"/>
  <c r="N239" i="15"/>
  <c r="M256" i="15" s="1"/>
  <c r="O237" i="15"/>
  <c r="M261" i="15" s="1"/>
  <c r="E249" i="15"/>
  <c r="I120" i="15"/>
  <c r="M176" i="15"/>
  <c r="M186" i="15" s="1"/>
  <c r="M180" i="15"/>
  <c r="M190" i="15" s="1"/>
  <c r="M177" i="15"/>
  <c r="M187" i="15" s="1"/>
  <c r="C184" i="15"/>
  <c r="I310" i="15"/>
  <c r="F314" i="15"/>
  <c r="F310" i="15" s="1"/>
  <c r="G310" i="15"/>
  <c r="R301" i="15"/>
  <c r="M346" i="15" s="1"/>
  <c r="Q301" i="15"/>
  <c r="M339" i="15" s="1"/>
  <c r="C252" i="15"/>
  <c r="C248" i="15" s="1"/>
  <c r="E184" i="15"/>
  <c r="E308" i="15"/>
  <c r="H310" i="15"/>
  <c r="O179" i="15"/>
  <c r="M203" i="15" s="1"/>
  <c r="C189" i="15"/>
  <c r="O240" i="15"/>
  <c r="M264" i="15" s="1"/>
  <c r="F68" i="15"/>
  <c r="H68" i="15" s="1"/>
  <c r="D69" i="15"/>
  <c r="I313" i="15"/>
  <c r="I312" i="15"/>
  <c r="S240" i="15"/>
  <c r="M292" i="15" s="1"/>
  <c r="I250" i="15"/>
  <c r="I245" i="15"/>
  <c r="K117" i="15"/>
  <c r="K113" i="15"/>
  <c r="I249" i="15"/>
  <c r="M253" i="15" l="1"/>
  <c r="S117" i="15"/>
  <c r="M169" i="15" s="1"/>
  <c r="Q175" i="15"/>
  <c r="M213" i="15" s="1"/>
  <c r="Q178" i="15"/>
  <c r="M216" i="15" s="1"/>
  <c r="G184" i="15"/>
  <c r="S113" i="15"/>
  <c r="M165" i="15" s="1"/>
  <c r="G185" i="15"/>
  <c r="G188" i="15"/>
  <c r="G183" i="15"/>
  <c r="Q180" i="15"/>
  <c r="M218" i="15" s="1"/>
  <c r="G186" i="15"/>
  <c r="Q176" i="15"/>
  <c r="M214" i="15" s="1"/>
  <c r="S115" i="15"/>
  <c r="M167" i="15" s="1"/>
  <c r="Q177" i="15"/>
  <c r="M215" i="15" s="1"/>
  <c r="Q174" i="15"/>
  <c r="M212" i="15" s="1"/>
  <c r="G187" i="15"/>
  <c r="F370" i="15"/>
  <c r="S116" i="15"/>
  <c r="M168" i="15" s="1"/>
  <c r="E369" i="15"/>
  <c r="E370" i="15"/>
  <c r="G250" i="15"/>
  <c r="S112" i="15"/>
  <c r="M164" i="15" s="1"/>
  <c r="S114" i="15"/>
  <c r="M166" i="15" s="1"/>
  <c r="S118" i="15"/>
  <c r="M170" i="15" s="1"/>
  <c r="F371" i="15"/>
  <c r="P361" i="15"/>
  <c r="P360" i="15"/>
  <c r="Q179" i="15"/>
  <c r="M217" i="15" s="1"/>
  <c r="D369" i="15"/>
  <c r="P362" i="15"/>
  <c r="P115" i="15"/>
  <c r="M146" i="15" s="1"/>
  <c r="Q113" i="15"/>
  <c r="M151" i="15" s="1"/>
  <c r="R236" i="15"/>
  <c r="M281" i="15" s="1"/>
  <c r="R116" i="15"/>
  <c r="M161" i="15" s="1"/>
  <c r="N179" i="15"/>
  <c r="M196" i="15" s="1"/>
  <c r="G28" i="15"/>
  <c r="G126" i="15"/>
  <c r="C128" i="15"/>
  <c r="G370" i="15"/>
  <c r="Q361" i="15"/>
  <c r="C125" i="15"/>
  <c r="Q363" i="15"/>
  <c r="D126" i="15"/>
  <c r="G371" i="15"/>
  <c r="H249" i="15"/>
  <c r="H122" i="15"/>
  <c r="D186" i="15"/>
  <c r="D188" i="15"/>
  <c r="H248" i="15"/>
  <c r="N176" i="15"/>
  <c r="M193" i="15" s="1"/>
  <c r="Q360" i="15"/>
  <c r="R239" i="15"/>
  <c r="M284" i="15" s="1"/>
  <c r="F128" i="15"/>
  <c r="Q362" i="15"/>
  <c r="C124" i="15"/>
  <c r="D184" i="15"/>
  <c r="G369" i="15"/>
  <c r="E28" i="15"/>
  <c r="F28" i="15"/>
  <c r="D28" i="15"/>
  <c r="D308" i="15"/>
  <c r="F123" i="15"/>
  <c r="M114" i="15"/>
  <c r="M124" i="15" s="1"/>
  <c r="D128" i="15"/>
  <c r="O361" i="15"/>
  <c r="H247" i="15"/>
  <c r="N298" i="15"/>
  <c r="M315" i="15" s="1"/>
  <c r="F188" i="15"/>
  <c r="Q117" i="15"/>
  <c r="M155" i="15" s="1"/>
  <c r="R118" i="15"/>
  <c r="M163" i="15" s="1"/>
  <c r="N299" i="15"/>
  <c r="M316" i="15" s="1"/>
  <c r="O112" i="15"/>
  <c r="M136" i="15" s="1"/>
  <c r="D125" i="15"/>
  <c r="P116" i="15"/>
  <c r="M147" i="15" s="1"/>
  <c r="F186" i="15"/>
  <c r="P179" i="15"/>
  <c r="M210" i="15" s="1"/>
  <c r="E126" i="15"/>
  <c r="I126" i="15"/>
  <c r="H123" i="15"/>
  <c r="M116" i="15"/>
  <c r="M126" i="15" s="1"/>
  <c r="D183" i="15"/>
  <c r="D189" i="15"/>
  <c r="G125" i="15"/>
  <c r="N180" i="15"/>
  <c r="M197" i="15" s="1"/>
  <c r="N118" i="15"/>
  <c r="M135" i="15" s="1"/>
  <c r="F126" i="15"/>
  <c r="R115" i="15"/>
  <c r="M160" i="15" s="1"/>
  <c r="O118" i="15"/>
  <c r="M142" i="15" s="1"/>
  <c r="D185" i="15"/>
  <c r="C126" i="15"/>
  <c r="M298" i="15"/>
  <c r="M115" i="15"/>
  <c r="M125" i="15" s="1"/>
  <c r="N112" i="15"/>
  <c r="M129" i="15" s="1"/>
  <c r="M112" i="15"/>
  <c r="D187" i="15"/>
  <c r="F122" i="15"/>
  <c r="P112" i="15"/>
  <c r="M143" i="15" s="1"/>
  <c r="P117" i="15"/>
  <c r="M148" i="15" s="1"/>
  <c r="N117" i="15"/>
  <c r="M134" i="15" s="1"/>
  <c r="N174" i="15"/>
  <c r="M191" i="15" s="1"/>
  <c r="N175" i="15"/>
  <c r="M192" i="15" s="1"/>
  <c r="N177" i="15"/>
  <c r="M194" i="15" s="1"/>
  <c r="E127" i="15"/>
  <c r="C43" i="15" a="1"/>
  <c r="C49" i="15" s="1"/>
  <c r="Q238" i="15"/>
  <c r="M276" i="15" s="1"/>
  <c r="F249" i="15"/>
  <c r="E125" i="15"/>
  <c r="C122" i="15"/>
  <c r="F124" i="15"/>
  <c r="N115" i="15"/>
  <c r="M132" i="15" s="1"/>
  <c r="D124" i="15"/>
  <c r="F189" i="15"/>
  <c r="P174" i="15"/>
  <c r="M205" i="15" s="1"/>
  <c r="F185" i="15"/>
  <c r="F183" i="15"/>
  <c r="F187" i="15"/>
  <c r="P175" i="15"/>
  <c r="M206" i="15" s="1"/>
  <c r="P176" i="15"/>
  <c r="M207" i="15" s="1"/>
  <c r="P180" i="15"/>
  <c r="M211" i="15" s="1"/>
  <c r="F184" i="15"/>
  <c r="P236" i="15"/>
  <c r="M267" i="15" s="1"/>
  <c r="P301" i="15"/>
  <c r="M332" i="15" s="1"/>
  <c r="O116" i="15"/>
  <c r="M140" i="15" s="1"/>
  <c r="D127" i="15"/>
  <c r="E123" i="15"/>
  <c r="N114" i="15"/>
  <c r="M131" i="15" s="1"/>
  <c r="C127" i="15"/>
  <c r="O115" i="15"/>
  <c r="M139" i="15" s="1"/>
  <c r="R240" i="15"/>
  <c r="M285" i="15" s="1"/>
  <c r="H126" i="15"/>
  <c r="M118" i="15"/>
  <c r="M128" i="15" s="1"/>
  <c r="N116" i="15"/>
  <c r="M133" i="15" s="1"/>
  <c r="O114" i="15"/>
  <c r="M138" i="15" s="1"/>
  <c r="P118" i="15"/>
  <c r="M149" i="15" s="1"/>
  <c r="P178" i="15"/>
  <c r="M209" i="15" s="1"/>
  <c r="B104" i="8"/>
  <c r="A105" i="8"/>
  <c r="C249" i="15"/>
  <c r="I125" i="15"/>
  <c r="Q112" i="15"/>
  <c r="M150" i="15" s="1"/>
  <c r="O113" i="15"/>
  <c r="M137" i="15" s="1"/>
  <c r="H56" i="15"/>
  <c r="P240" i="15"/>
  <c r="M271" i="15" s="1"/>
  <c r="E128" i="15"/>
  <c r="R113" i="15"/>
  <c r="M158" i="15" s="1"/>
  <c r="Q118" i="15"/>
  <c r="M156" i="15" s="1"/>
  <c r="O117" i="15"/>
  <c r="M141" i="15" s="1"/>
  <c r="Q115" i="15"/>
  <c r="M153" i="15" s="1"/>
  <c r="Q114" i="15"/>
  <c r="M152" i="15" s="1"/>
  <c r="D130" i="15"/>
  <c r="E130" i="15" s="1"/>
  <c r="I122" i="15"/>
  <c r="E122" i="15"/>
  <c r="G122" i="15"/>
  <c r="D62" i="15"/>
  <c r="F61" i="15"/>
  <c r="H61" i="15" s="1"/>
  <c r="I61" i="15"/>
  <c r="F245" i="15"/>
  <c r="D58" i="15"/>
  <c r="F57" i="15"/>
  <c r="I57" i="15"/>
  <c r="C246" i="15"/>
  <c r="M239" i="15"/>
  <c r="M249" i="15" s="1"/>
  <c r="C251" i="15"/>
  <c r="C250" i="15"/>
  <c r="M237" i="15"/>
  <c r="M247" i="15" s="1"/>
  <c r="M241" i="15"/>
  <c r="M251" i="15" s="1"/>
  <c r="M242" i="15"/>
  <c r="M252" i="15" s="1"/>
  <c r="C247" i="15"/>
  <c r="I128" i="15"/>
  <c r="I123" i="15"/>
  <c r="C123" i="15"/>
  <c r="D123" i="15"/>
  <c r="Q116" i="15"/>
  <c r="M154" i="15" s="1"/>
  <c r="M238" i="15"/>
  <c r="M248" i="15" s="1"/>
  <c r="G246" i="15"/>
  <c r="Q242" i="15"/>
  <c r="M280" i="15" s="1"/>
  <c r="G251" i="15"/>
  <c r="G248" i="15"/>
  <c r="Q237" i="15"/>
  <c r="M275" i="15" s="1"/>
  <c r="F127" i="15"/>
  <c r="P298" i="15"/>
  <c r="M329" i="15" s="1"/>
  <c r="F307" i="15"/>
  <c r="P300" i="15"/>
  <c r="M331" i="15" s="1"/>
  <c r="P299" i="15"/>
  <c r="M330" i="15" s="1"/>
  <c r="F309" i="15"/>
  <c r="F308" i="15"/>
  <c r="F125" i="15"/>
  <c r="E124" i="15"/>
  <c r="P113" i="15"/>
  <c r="M144" i="15" s="1"/>
  <c r="G128" i="15"/>
  <c r="G124" i="15"/>
  <c r="P114" i="15"/>
  <c r="M145" i="15" s="1"/>
  <c r="D122" i="15"/>
  <c r="G123" i="15"/>
  <c r="D131" i="15"/>
  <c r="E131" i="15" s="1"/>
  <c r="M240" i="15"/>
  <c r="M250" i="15" s="1"/>
  <c r="P237" i="15"/>
  <c r="M268" i="15" s="1"/>
  <c r="P241" i="15"/>
  <c r="M272" i="15" s="1"/>
  <c r="F251" i="15"/>
  <c r="F246" i="15"/>
  <c r="F250" i="15"/>
  <c r="P242" i="15"/>
  <c r="M273" i="15" s="1"/>
  <c r="N113" i="15"/>
  <c r="M130" i="15" s="1"/>
  <c r="Q241" i="15"/>
  <c r="M279" i="15" s="1"/>
  <c r="H128" i="15"/>
  <c r="R112" i="15"/>
  <c r="M157" i="15" s="1"/>
  <c r="I124" i="15"/>
  <c r="H125" i="15"/>
  <c r="H124" i="15"/>
  <c r="H245" i="15"/>
  <c r="H251" i="15"/>
  <c r="H246" i="15"/>
  <c r="R237" i="15"/>
  <c r="M282" i="15" s="1"/>
  <c r="R242" i="15"/>
  <c r="M287" i="15" s="1"/>
  <c r="P238" i="15"/>
  <c r="M269" i="15" s="1"/>
  <c r="G127" i="15"/>
  <c r="D70" i="15"/>
  <c r="F69" i="15"/>
  <c r="H69" i="15" s="1"/>
  <c r="I69" i="15"/>
  <c r="Q239" i="15"/>
  <c r="M277" i="15" s="1"/>
  <c r="R114" i="15"/>
  <c r="M159" i="15" s="1"/>
  <c r="I127" i="15"/>
  <c r="R117" i="15"/>
  <c r="M162" i="15" s="1"/>
  <c r="H127" i="15"/>
  <c r="M117" i="15"/>
  <c r="M127" i="15" s="1"/>
  <c r="M113" i="15"/>
  <c r="M123" i="15" s="1"/>
  <c r="G247" i="15"/>
  <c r="G245" i="15"/>
  <c r="L295" i="15" l="1"/>
  <c r="M305" i="15"/>
  <c r="M308" i="15"/>
  <c r="L357" i="15" s="1"/>
  <c r="M243" i="15"/>
  <c r="M181" i="15"/>
  <c r="L233" i="15"/>
  <c r="J376" i="15"/>
  <c r="J190" i="15"/>
  <c r="M122" i="15"/>
  <c r="L171" i="15" s="1"/>
  <c r="M119" i="15"/>
  <c r="J314" i="15"/>
  <c r="G75" i="15"/>
  <c r="D75" i="15"/>
  <c r="E75" i="15"/>
  <c r="M367" i="15"/>
  <c r="C51" i="15"/>
  <c r="C45" i="15"/>
  <c r="C48" i="15"/>
  <c r="C44" i="15"/>
  <c r="C46" i="15"/>
  <c r="C47" i="15"/>
  <c r="C50" i="15"/>
  <c r="C43" i="15"/>
  <c r="D132" i="15"/>
  <c r="E132" i="15" s="1"/>
  <c r="A106" i="8"/>
  <c r="B105" i="8"/>
  <c r="H57" i="15"/>
  <c r="F62" i="15"/>
  <c r="H62" i="15" s="1"/>
  <c r="I62" i="15"/>
  <c r="F58" i="15"/>
  <c r="I58" i="15"/>
  <c r="D71" i="15"/>
  <c r="D72" i="15"/>
  <c r="F70" i="15"/>
  <c r="H70" i="15" s="1"/>
  <c r="I70" i="15"/>
  <c r="I71" i="15" l="1"/>
  <c r="F77" i="15"/>
  <c r="F76" i="15"/>
  <c r="I80" i="15"/>
  <c r="I72" i="15"/>
  <c r="I75" i="15"/>
  <c r="I76" i="15"/>
  <c r="F75" i="15"/>
  <c r="D133" i="15"/>
  <c r="E133" i="15" s="1"/>
  <c r="F130" i="15" s="1"/>
  <c r="B106" i="8"/>
  <c r="A107" i="8"/>
  <c r="I77" i="15"/>
  <c r="F72" i="15"/>
  <c r="I78" i="15"/>
  <c r="H58" i="15"/>
  <c r="H75" i="15" s="1"/>
  <c r="F71" i="15"/>
  <c r="G77" i="15"/>
  <c r="H79" i="15" l="1"/>
  <c r="F132" i="15"/>
  <c r="H72" i="15"/>
  <c r="H71" i="15"/>
  <c r="H76" i="15"/>
  <c r="I79" i="15"/>
  <c r="H77" i="15"/>
  <c r="F133" i="15"/>
  <c r="F131" i="15"/>
  <c r="A108" i="8"/>
  <c r="B107" i="8"/>
  <c r="H78" i="15"/>
  <c r="B108" i="8" l="1"/>
  <c r="A109" i="8"/>
  <c r="B42" i="14" a="1"/>
  <c r="C43" i="14" s="1"/>
  <c r="E35" i="14"/>
  <c r="I34" i="14"/>
  <c r="H34" i="14"/>
  <c r="G34" i="14"/>
  <c r="H33" i="14"/>
  <c r="F13" i="14"/>
  <c r="E13" i="14"/>
  <c r="G13" i="14" s="1"/>
  <c r="D13" i="14"/>
  <c r="F12" i="14"/>
  <c r="E12" i="14"/>
  <c r="D12" i="14"/>
  <c r="D11" i="14"/>
  <c r="G12" i="14" l="1"/>
  <c r="C15" i="14"/>
  <c r="C16" i="14"/>
  <c r="B109" i="8"/>
  <c r="A110" i="8"/>
  <c r="B42" i="14"/>
  <c r="C42" i="14"/>
  <c r="B43" i="14"/>
  <c r="B110" i="8" l="1"/>
  <c r="A111" i="8"/>
  <c r="D42" i="14" a="1"/>
  <c r="D39" i="14"/>
  <c r="D38" i="14"/>
  <c r="A112" i="8" l="1"/>
  <c r="B111" i="8"/>
  <c r="E43" i="14"/>
  <c r="D43" i="14"/>
  <c r="E42" i="14"/>
  <c r="D42" i="14"/>
  <c r="G42" i="14" s="1" a="1"/>
  <c r="B112" i="8" l="1"/>
  <c r="A113" i="8"/>
  <c r="G43" i="14"/>
  <c r="G42" i="14"/>
  <c r="B113" i="8" l="1"/>
  <c r="A114" i="8"/>
  <c r="D222" i="13"/>
  <c r="D221" i="13"/>
  <c r="E221" i="13" s="1"/>
  <c r="D220" i="13"/>
  <c r="D219" i="13"/>
  <c r="D218" i="13"/>
  <c r="O199" i="13"/>
  <c r="O198" i="13"/>
  <c r="O197" i="13"/>
  <c r="O196" i="13"/>
  <c r="O195" i="13"/>
  <c r="O194" i="13"/>
  <c r="O193" i="13"/>
  <c r="O192" i="13"/>
  <c r="O191" i="13"/>
  <c r="O190" i="13"/>
  <c r="O188" i="13"/>
  <c r="O187" i="13"/>
  <c r="O186" i="13"/>
  <c r="O185" i="13"/>
  <c r="O184" i="13"/>
  <c r="O183" i="13"/>
  <c r="O182" i="13"/>
  <c r="O181" i="13"/>
  <c r="O180" i="13"/>
  <c r="O179" i="13"/>
  <c r="C116" i="13" a="1"/>
  <c r="I112" i="13"/>
  <c r="I111" i="13"/>
  <c r="C105" i="13"/>
  <c r="C84" i="13"/>
  <c r="E17" i="13"/>
  <c r="F23" i="13" s="1"/>
  <c r="D17" i="13"/>
  <c r="D23" i="13" s="1"/>
  <c r="H23" i="13" s="1"/>
  <c r="C17" i="13"/>
  <c r="C23" i="13" s="1"/>
  <c r="C39" i="13" s="1"/>
  <c r="E16" i="13"/>
  <c r="F21" i="13" s="1"/>
  <c r="F41" i="13" s="1"/>
  <c r="D16" i="13"/>
  <c r="D21" i="13" s="1"/>
  <c r="D22" i="13" s="1"/>
  <c r="C16" i="13"/>
  <c r="C21" i="13" s="1"/>
  <c r="C22" i="13" s="1"/>
  <c r="C42" i="13" s="1"/>
  <c r="E15" i="13"/>
  <c r="F20" i="13" s="1"/>
  <c r="D15" i="13"/>
  <c r="D20" i="13" s="1"/>
  <c r="C15" i="13"/>
  <c r="C20" i="13" s="1"/>
  <c r="C9" i="13"/>
  <c r="E9" i="13" s="1"/>
  <c r="B9" i="13"/>
  <c r="F9" i="13" s="1"/>
  <c r="K111" i="13" l="1"/>
  <c r="E219" i="13"/>
  <c r="Q199" i="13"/>
  <c r="E220" i="13"/>
  <c r="H22" i="13"/>
  <c r="H42" i="13" s="1"/>
  <c r="D38" i="13"/>
  <c r="D42" i="13"/>
  <c r="G21" i="13"/>
  <c r="G37" i="13" s="1"/>
  <c r="H21" i="13"/>
  <c r="H41" i="13" s="1"/>
  <c r="C38" i="13"/>
  <c r="C70" i="13" s="1"/>
  <c r="I9" i="13"/>
  <c r="A115" i="8"/>
  <c r="B114" i="8"/>
  <c r="H39" i="13"/>
  <c r="H43" i="13"/>
  <c r="C36" i="13"/>
  <c r="C40" i="13"/>
  <c r="G20" i="13"/>
  <c r="F39" i="13"/>
  <c r="F43" i="13"/>
  <c r="J23" i="13"/>
  <c r="H38" i="13"/>
  <c r="E20" i="13"/>
  <c r="D36" i="13"/>
  <c r="H20" i="13"/>
  <c r="D40" i="13"/>
  <c r="F36" i="13"/>
  <c r="J20" i="13"/>
  <c r="F40" i="13"/>
  <c r="C43" i="13"/>
  <c r="C71" i="13" s="1"/>
  <c r="G23" i="13"/>
  <c r="F37" i="13"/>
  <c r="J21" i="13"/>
  <c r="F22" i="13"/>
  <c r="C117" i="13"/>
  <c r="C118" i="13"/>
  <c r="F118" i="13" s="1"/>
  <c r="E23" i="13"/>
  <c r="D43" i="13"/>
  <c r="D39" i="13"/>
  <c r="C116" i="13"/>
  <c r="C41" i="13"/>
  <c r="G22" i="13"/>
  <c r="E21" i="13"/>
  <c r="D37" i="13"/>
  <c r="D41" i="13"/>
  <c r="C37" i="13"/>
  <c r="P199" i="13"/>
  <c r="R199" i="13" s="1"/>
  <c r="K112" i="13"/>
  <c r="E222" i="13"/>
  <c r="D48" i="13" l="1"/>
  <c r="C49" i="13"/>
  <c r="D70" i="13"/>
  <c r="D93" i="13"/>
  <c r="G41" i="13"/>
  <c r="G92" i="13" s="1"/>
  <c r="H9" i="13"/>
  <c r="D12" i="13"/>
  <c r="C46" i="13"/>
  <c r="C48" i="13"/>
  <c r="C93" i="13"/>
  <c r="H37" i="13"/>
  <c r="H47" i="13" s="1"/>
  <c r="A116" i="8"/>
  <c r="B115" i="8"/>
  <c r="C92" i="13"/>
  <c r="C47" i="13"/>
  <c r="C69" i="13"/>
  <c r="F46" i="13"/>
  <c r="F68" i="13"/>
  <c r="F91" i="13"/>
  <c r="E43" i="13"/>
  <c r="E39" i="13"/>
  <c r="I23" i="13"/>
  <c r="F49" i="13"/>
  <c r="F94" i="13"/>
  <c r="F71" i="13"/>
  <c r="D130" i="13"/>
  <c r="D126" i="13"/>
  <c r="D91" i="13"/>
  <c r="D46" i="13"/>
  <c r="D68" i="13"/>
  <c r="E40" i="13"/>
  <c r="E36" i="13"/>
  <c r="I20" i="13"/>
  <c r="G117" i="13"/>
  <c r="E116" i="13"/>
  <c r="E117" i="13"/>
  <c r="G116" i="13"/>
  <c r="C119" i="13"/>
  <c r="C120" i="13" s="1"/>
  <c r="C94" i="13"/>
  <c r="F38" i="13"/>
  <c r="J22" i="13"/>
  <c r="F42" i="13"/>
  <c r="F92" i="13"/>
  <c r="F47" i="13"/>
  <c r="F69" i="13"/>
  <c r="J43" i="13"/>
  <c r="J39" i="13"/>
  <c r="G39" i="13"/>
  <c r="G43" i="13"/>
  <c r="D47" i="13"/>
  <c r="D92" i="13"/>
  <c r="D69" i="13"/>
  <c r="H40" i="13"/>
  <c r="H36" i="13"/>
  <c r="E41" i="13"/>
  <c r="E37" i="13"/>
  <c r="E22" i="13"/>
  <c r="I21" i="13"/>
  <c r="G36" i="13"/>
  <c r="G40" i="13"/>
  <c r="F116" i="13"/>
  <c r="G118" i="13"/>
  <c r="F117" i="13"/>
  <c r="E118" i="13"/>
  <c r="C91" i="13"/>
  <c r="C68" i="13"/>
  <c r="G38" i="13"/>
  <c r="G42" i="13"/>
  <c r="D49" i="13"/>
  <c r="D71" i="13"/>
  <c r="D94" i="13"/>
  <c r="J41" i="13"/>
  <c r="J37" i="13"/>
  <c r="J40" i="13"/>
  <c r="J36" i="13"/>
  <c r="H70" i="13"/>
  <c r="H48" i="13"/>
  <c r="H93" i="13"/>
  <c r="H94" i="13"/>
  <c r="H71" i="13"/>
  <c r="H49" i="13"/>
  <c r="G69" i="13" l="1"/>
  <c r="G47" i="13"/>
  <c r="H92" i="13"/>
  <c r="H69" i="13"/>
  <c r="B116" i="8"/>
  <c r="A117" i="8"/>
  <c r="D72" i="13"/>
  <c r="G71" i="13"/>
  <c r="G94" i="13"/>
  <c r="G49" i="13"/>
  <c r="J42" i="13"/>
  <c r="J38" i="13"/>
  <c r="H116" i="13"/>
  <c r="C128" i="13"/>
  <c r="C124" i="13"/>
  <c r="E119" i="13"/>
  <c r="E120" i="13" s="1"/>
  <c r="I116" i="13"/>
  <c r="K116" i="13"/>
  <c r="J116" i="13"/>
  <c r="I39" i="13"/>
  <c r="I43" i="13"/>
  <c r="I41" i="13"/>
  <c r="I37" i="13"/>
  <c r="E46" i="13"/>
  <c r="E91" i="13"/>
  <c r="E68" i="13"/>
  <c r="E92" i="13"/>
  <c r="E47" i="13"/>
  <c r="E69" i="13"/>
  <c r="E124" i="13"/>
  <c r="E128" i="13"/>
  <c r="G119" i="13"/>
  <c r="G120" i="13" s="1"/>
  <c r="F48" i="13"/>
  <c r="F70" i="13"/>
  <c r="F72" i="13" s="1"/>
  <c r="F93" i="13"/>
  <c r="E129" i="13"/>
  <c r="E125" i="13"/>
  <c r="E49" i="13"/>
  <c r="E71" i="13"/>
  <c r="E94" i="13"/>
  <c r="D129" i="13"/>
  <c r="D125" i="13"/>
  <c r="J69" i="13"/>
  <c r="J92" i="13"/>
  <c r="J47" i="13"/>
  <c r="E42" i="13"/>
  <c r="E38" i="13"/>
  <c r="I22" i="13"/>
  <c r="D124" i="13"/>
  <c r="F119" i="13"/>
  <c r="F120" i="13" s="1"/>
  <c r="D128" i="13"/>
  <c r="C129" i="13"/>
  <c r="C125" i="13"/>
  <c r="I117" i="13"/>
  <c r="H117" i="13"/>
  <c r="K117" i="13"/>
  <c r="J117" i="13"/>
  <c r="H46" i="13"/>
  <c r="H91" i="13"/>
  <c r="H68" i="13"/>
  <c r="J49" i="13"/>
  <c r="J71" i="13"/>
  <c r="J94" i="13"/>
  <c r="D137" i="13"/>
  <c r="G126" i="13"/>
  <c r="G137" i="13" s="1"/>
  <c r="E130" i="13"/>
  <c r="E126" i="13"/>
  <c r="C72" i="13"/>
  <c r="G68" i="13"/>
  <c r="G91" i="13"/>
  <c r="G46" i="13"/>
  <c r="J68" i="13"/>
  <c r="J91" i="13"/>
  <c r="J46" i="13"/>
  <c r="G93" i="13"/>
  <c r="G70" i="13"/>
  <c r="G48" i="13"/>
  <c r="J118" i="13"/>
  <c r="C126" i="13"/>
  <c r="K118" i="13"/>
  <c r="I118" i="13"/>
  <c r="H118" i="13"/>
  <c r="C130" i="13"/>
  <c r="I40" i="13"/>
  <c r="I36" i="13"/>
  <c r="G130" i="13"/>
  <c r="G141" i="13" s="1"/>
  <c r="D141" i="13"/>
  <c r="K137" i="13" l="1"/>
  <c r="K141" i="13"/>
  <c r="G153" i="13" s="1"/>
  <c r="B117" i="8"/>
  <c r="A118" i="8"/>
  <c r="G124" i="13"/>
  <c r="G135" i="13" s="1"/>
  <c r="D135" i="13"/>
  <c r="E136" i="13"/>
  <c r="H125" i="13"/>
  <c r="H136" i="13" s="1"/>
  <c r="C135" i="13"/>
  <c r="F124" i="13"/>
  <c r="F135" i="13" s="1"/>
  <c r="G72" i="13"/>
  <c r="I94" i="13"/>
  <c r="I71" i="13"/>
  <c r="K71" i="13" s="1"/>
  <c r="I49" i="13"/>
  <c r="K49" i="13" s="1"/>
  <c r="E55" i="13" s="1"/>
  <c r="D169" i="13"/>
  <c r="G129" i="13"/>
  <c r="G140" i="13" s="1"/>
  <c r="D140" i="13"/>
  <c r="D165" i="13"/>
  <c r="F125" i="13"/>
  <c r="F136" i="13" s="1"/>
  <c r="C136" i="13"/>
  <c r="F129" i="13"/>
  <c r="F140" i="13" s="1"/>
  <c r="C140" i="13"/>
  <c r="C137" i="13"/>
  <c r="F126" i="13"/>
  <c r="F137" i="13" s="1"/>
  <c r="G125" i="13"/>
  <c r="G136" i="13" s="1"/>
  <c r="D136" i="13"/>
  <c r="E140" i="13"/>
  <c r="H129" i="13"/>
  <c r="H140" i="13" s="1"/>
  <c r="C139" i="13"/>
  <c r="F128" i="13"/>
  <c r="F139" i="13" s="1"/>
  <c r="E131" i="13"/>
  <c r="E127" i="13"/>
  <c r="H119" i="13"/>
  <c r="H120" i="13" s="1"/>
  <c r="I91" i="13"/>
  <c r="I68" i="13"/>
  <c r="K68" i="13" s="1"/>
  <c r="I46" i="13"/>
  <c r="E139" i="13"/>
  <c r="H128" i="13"/>
  <c r="H139" i="13" s="1"/>
  <c r="J93" i="13"/>
  <c r="J70" i="13"/>
  <c r="J72" i="13" s="1"/>
  <c r="J48" i="13"/>
  <c r="K119" i="13"/>
  <c r="C131" i="13"/>
  <c r="C127" i="13"/>
  <c r="C141" i="13"/>
  <c r="F130" i="13"/>
  <c r="F141" i="13" s="1"/>
  <c r="H72" i="13"/>
  <c r="I38" i="13"/>
  <c r="I42" i="13"/>
  <c r="E137" i="13"/>
  <c r="H126" i="13"/>
  <c r="H137" i="13" s="1"/>
  <c r="E48" i="13"/>
  <c r="E93" i="13"/>
  <c r="E70" i="13"/>
  <c r="E72" i="13" s="1"/>
  <c r="J119" i="13"/>
  <c r="H130" i="13"/>
  <c r="H141" i="13" s="1"/>
  <c r="E141" i="13"/>
  <c r="H124" i="13"/>
  <c r="H135" i="13" s="1"/>
  <c r="E135" i="13"/>
  <c r="D139" i="13"/>
  <c r="G128" i="13"/>
  <c r="G139" i="13" s="1"/>
  <c r="D131" i="13"/>
  <c r="D127" i="13"/>
  <c r="I92" i="13"/>
  <c r="I69" i="13"/>
  <c r="I47" i="13"/>
  <c r="I119" i="13"/>
  <c r="J153" i="13" l="1"/>
  <c r="J149" i="13"/>
  <c r="J135" i="13"/>
  <c r="C163" i="13"/>
  <c r="G149" i="13"/>
  <c r="L140" i="13"/>
  <c r="H152" i="13" s="1"/>
  <c r="L137" i="13"/>
  <c r="H149" i="13" s="1"/>
  <c r="K139" i="13"/>
  <c r="L135" i="13"/>
  <c r="J136" i="13"/>
  <c r="I148" i="13"/>
  <c r="K136" i="13"/>
  <c r="G148" i="13"/>
  <c r="L141" i="13"/>
  <c r="K153" i="13" s="1"/>
  <c r="H153" i="13"/>
  <c r="K140" i="13"/>
  <c r="G152" i="13" s="1"/>
  <c r="J137" i="13"/>
  <c r="L136" i="13"/>
  <c r="J141" i="13"/>
  <c r="I153" i="13"/>
  <c r="J139" i="13"/>
  <c r="K135" i="13"/>
  <c r="L139" i="13"/>
  <c r="J140" i="13"/>
  <c r="J120" i="13"/>
  <c r="I120" i="13"/>
  <c r="K120" i="13"/>
  <c r="B118" i="8"/>
  <c r="A119" i="8"/>
  <c r="K69" i="13"/>
  <c r="D168" i="13"/>
  <c r="C169" i="13"/>
  <c r="E138" i="13"/>
  <c r="H127" i="13"/>
  <c r="H138" i="13" s="1"/>
  <c r="C55" i="13"/>
  <c r="H55" i="13"/>
  <c r="D55" i="13"/>
  <c r="F55" i="13"/>
  <c r="F127" i="13"/>
  <c r="F138" i="13" s="1"/>
  <c r="C138" i="13"/>
  <c r="J55" i="13"/>
  <c r="E142" i="13"/>
  <c r="H131" i="13"/>
  <c r="H142" i="13" s="1"/>
  <c r="I55" i="13"/>
  <c r="E164" i="13"/>
  <c r="E165" i="13"/>
  <c r="C168" i="13"/>
  <c r="E167" i="13"/>
  <c r="D167" i="13"/>
  <c r="C164" i="13"/>
  <c r="D163" i="13"/>
  <c r="C167" i="13"/>
  <c r="D164" i="13"/>
  <c r="E169" i="13"/>
  <c r="G55" i="13"/>
  <c r="G127" i="13"/>
  <c r="G138" i="13" s="1"/>
  <c r="D138" i="13"/>
  <c r="I93" i="13"/>
  <c r="I48" i="13"/>
  <c r="K48" i="13" s="1"/>
  <c r="I70" i="13"/>
  <c r="K72" i="13" s="1"/>
  <c r="C142" i="13"/>
  <c r="F131" i="13"/>
  <c r="F142" i="13" s="1"/>
  <c r="K47" i="13"/>
  <c r="D142" i="13"/>
  <c r="G131" i="13"/>
  <c r="G142" i="13" s="1"/>
  <c r="E163" i="13"/>
  <c r="E168" i="13"/>
  <c r="C165" i="13"/>
  <c r="K46" i="13"/>
  <c r="F148" i="13" l="1"/>
  <c r="F151" i="13"/>
  <c r="H147" i="13"/>
  <c r="J151" i="13"/>
  <c r="F153" i="13"/>
  <c r="F147" i="13"/>
  <c r="K151" i="13"/>
  <c r="K148" i="13"/>
  <c r="K149" i="13"/>
  <c r="J152" i="13"/>
  <c r="J148" i="13"/>
  <c r="I147" i="13"/>
  <c r="F152" i="13"/>
  <c r="F149" i="13"/>
  <c r="K147" i="13"/>
  <c r="K152" i="13"/>
  <c r="J142" i="13"/>
  <c r="I151" i="13"/>
  <c r="G151" i="13"/>
  <c r="H151" i="13"/>
  <c r="I149" i="13"/>
  <c r="L142" i="13"/>
  <c r="H154" i="13"/>
  <c r="K138" i="13"/>
  <c r="G150" i="13" s="1"/>
  <c r="L138" i="13"/>
  <c r="H150" i="13"/>
  <c r="C143" i="13"/>
  <c r="D151" i="13" s="1"/>
  <c r="K142" i="13"/>
  <c r="J147" i="13"/>
  <c r="G147" i="13"/>
  <c r="H148" i="13"/>
  <c r="J138" i="13"/>
  <c r="I150" i="13" s="1"/>
  <c r="I152" i="13"/>
  <c r="A120" i="8"/>
  <c r="B119" i="8"/>
  <c r="G53" i="13"/>
  <c r="H53" i="13"/>
  <c r="D53" i="13"/>
  <c r="F53" i="13"/>
  <c r="C53" i="13"/>
  <c r="E53" i="13"/>
  <c r="J53" i="13"/>
  <c r="C54" i="13"/>
  <c r="D54" i="13"/>
  <c r="H54" i="13"/>
  <c r="F54" i="13"/>
  <c r="G54" i="13"/>
  <c r="G78" i="13"/>
  <c r="D166" i="13"/>
  <c r="E170" i="13"/>
  <c r="F52" i="13"/>
  <c r="D52" i="13"/>
  <c r="C52" i="13"/>
  <c r="G52" i="13"/>
  <c r="J52" i="13"/>
  <c r="E52" i="13"/>
  <c r="H52" i="13"/>
  <c r="I165" i="13"/>
  <c r="G165" i="13"/>
  <c r="H165" i="13"/>
  <c r="F165" i="13"/>
  <c r="I52" i="13"/>
  <c r="H164" i="13"/>
  <c r="G164" i="13"/>
  <c r="F164" i="13"/>
  <c r="I164" i="13"/>
  <c r="G163" i="13"/>
  <c r="I163" i="13"/>
  <c r="H163" i="13"/>
  <c r="F163" i="13"/>
  <c r="K75" i="13"/>
  <c r="D85" i="13"/>
  <c r="D78" i="13"/>
  <c r="C78" i="13"/>
  <c r="F78" i="13"/>
  <c r="E78" i="13"/>
  <c r="E54" i="13"/>
  <c r="I54" i="13"/>
  <c r="J78" i="13"/>
  <c r="G167" i="13"/>
  <c r="F167" i="13"/>
  <c r="I167" i="13"/>
  <c r="H167" i="13"/>
  <c r="K74" i="13"/>
  <c r="E74" i="13" s="1"/>
  <c r="E166" i="13"/>
  <c r="I53" i="13"/>
  <c r="F168" i="13"/>
  <c r="H168" i="13"/>
  <c r="I168" i="13"/>
  <c r="G168" i="13"/>
  <c r="C166" i="13"/>
  <c r="C170" i="13"/>
  <c r="D170" i="13"/>
  <c r="K95" i="13"/>
  <c r="I72" i="13"/>
  <c r="I78" i="13" s="1"/>
  <c r="I75" i="13" s="1"/>
  <c r="H78" i="13"/>
  <c r="K77" i="13"/>
  <c r="J54" i="13"/>
  <c r="K70" i="13"/>
  <c r="K76" i="13" s="1"/>
  <c r="I169" i="13"/>
  <c r="H169" i="13"/>
  <c r="G169" i="13"/>
  <c r="F169" i="13"/>
  <c r="K50" i="13"/>
  <c r="D61" i="13" s="1"/>
  <c r="D75" i="13" l="1"/>
  <c r="H75" i="13"/>
  <c r="E147" i="13"/>
  <c r="E152" i="13"/>
  <c r="D159" i="13"/>
  <c r="D148" i="13"/>
  <c r="E154" i="13"/>
  <c r="K154" i="13"/>
  <c r="E153" i="13"/>
  <c r="D152" i="13"/>
  <c r="C149" i="13"/>
  <c r="C153" i="13"/>
  <c r="C151" i="13"/>
  <c r="E149" i="13"/>
  <c r="K150" i="13"/>
  <c r="E150" i="13"/>
  <c r="C152" i="13"/>
  <c r="E148" i="13"/>
  <c r="C147" i="13"/>
  <c r="D150" i="13"/>
  <c r="G154" i="13"/>
  <c r="D154" i="13"/>
  <c r="D149" i="13"/>
  <c r="D153" i="13"/>
  <c r="F150" i="13"/>
  <c r="C150" i="13"/>
  <c r="C148" i="13"/>
  <c r="J154" i="13"/>
  <c r="F154" i="13"/>
  <c r="C154" i="13"/>
  <c r="E151" i="13"/>
  <c r="D147" i="13"/>
  <c r="J150" i="13"/>
  <c r="E75" i="13"/>
  <c r="I154" i="13"/>
  <c r="D59" i="13"/>
  <c r="E59" i="13" s="1"/>
  <c r="F75" i="13"/>
  <c r="I76" i="13"/>
  <c r="E172" i="13"/>
  <c r="E171" i="13"/>
  <c r="I77" i="13"/>
  <c r="G75" i="13"/>
  <c r="C172" i="13"/>
  <c r="F74" i="13"/>
  <c r="D82" i="13"/>
  <c r="H74" i="13"/>
  <c r="E77" i="13"/>
  <c r="I74" i="13"/>
  <c r="D74" i="13"/>
  <c r="J74" i="13"/>
  <c r="G74" i="13"/>
  <c r="J75" i="13"/>
  <c r="H76" i="13"/>
  <c r="B120" i="8"/>
  <c r="A121" i="8"/>
  <c r="K55" i="13"/>
  <c r="F170" i="13"/>
  <c r="I170" i="13"/>
  <c r="H170" i="13"/>
  <c r="G170" i="13"/>
  <c r="J77" i="13"/>
  <c r="J76" i="13"/>
  <c r="E76" i="13"/>
  <c r="F76" i="13"/>
  <c r="C76" i="13"/>
  <c r="G76" i="13"/>
  <c r="D76" i="13"/>
  <c r="I166" i="13"/>
  <c r="H166" i="13"/>
  <c r="G166" i="13"/>
  <c r="F166" i="13"/>
  <c r="D171" i="13"/>
  <c r="C171" i="13"/>
  <c r="C74" i="13"/>
  <c r="E82" i="13"/>
  <c r="D106" i="13"/>
  <c r="G98" i="13"/>
  <c r="D99" i="13"/>
  <c r="C99" i="13"/>
  <c r="F100" i="13"/>
  <c r="H99" i="13"/>
  <c r="F97" i="13"/>
  <c r="D100" i="13"/>
  <c r="H98" i="13"/>
  <c r="F98" i="13"/>
  <c r="C100" i="13"/>
  <c r="D98" i="13"/>
  <c r="C97" i="13"/>
  <c r="H100" i="13"/>
  <c r="C98" i="13"/>
  <c r="D97" i="13"/>
  <c r="G99" i="13"/>
  <c r="J97" i="13"/>
  <c r="G100" i="13"/>
  <c r="G97" i="13"/>
  <c r="E97" i="13"/>
  <c r="J98" i="13"/>
  <c r="E100" i="13"/>
  <c r="E98" i="13"/>
  <c r="F99" i="13"/>
  <c r="H97" i="13"/>
  <c r="J100" i="13"/>
  <c r="I98" i="13"/>
  <c r="E99" i="13"/>
  <c r="I97" i="13"/>
  <c r="I100" i="13"/>
  <c r="J99" i="13"/>
  <c r="F77" i="13"/>
  <c r="K54" i="13"/>
  <c r="K53" i="13"/>
  <c r="D172" i="13"/>
  <c r="C75" i="13"/>
  <c r="C77" i="13"/>
  <c r="I99" i="13"/>
  <c r="D81" i="13"/>
  <c r="E81" i="13" s="1"/>
  <c r="G77" i="13"/>
  <c r="H77" i="13"/>
  <c r="D77" i="13"/>
  <c r="K52" i="13"/>
  <c r="D158" i="13" l="1"/>
  <c r="D157" i="13"/>
  <c r="E157" i="13" s="1"/>
  <c r="E158" i="13"/>
  <c r="F157" i="13" s="1"/>
  <c r="G157" i="13" s="1"/>
  <c r="G171" i="13"/>
  <c r="D58" i="13"/>
  <c r="D60" i="13" s="1"/>
  <c r="H171" i="13"/>
  <c r="F171" i="13"/>
  <c r="I172" i="13"/>
  <c r="H172" i="13"/>
  <c r="C175" i="13" s="1"/>
  <c r="B121" i="8"/>
  <c r="A122" i="8"/>
  <c r="G172" i="13"/>
  <c r="D83" i="13"/>
  <c r="E83" i="13" s="1"/>
  <c r="D88" i="13" s="1"/>
  <c r="D104" i="13"/>
  <c r="E104" i="13" s="1"/>
  <c r="F172" i="13"/>
  <c r="C174" i="13" s="1"/>
  <c r="I171" i="13"/>
  <c r="E58" i="13" l="1"/>
  <c r="D65" i="13"/>
  <c r="F65" i="13" s="1"/>
  <c r="E60" i="13"/>
  <c r="D105" i="13"/>
  <c r="E105" i="13" s="1"/>
  <c r="C108" i="13" s="1"/>
  <c r="D84" i="13"/>
  <c r="E84" i="13" s="1"/>
  <c r="C88" i="13" s="1"/>
  <c r="A123" i="8"/>
  <c r="B122" i="8"/>
  <c r="D175" i="13"/>
  <c r="G175" i="13" s="1"/>
  <c r="D174" i="13"/>
  <c r="G174" i="13" s="1"/>
  <c r="F175" i="13" l="1"/>
  <c r="F174" i="13"/>
  <c r="F58" i="13"/>
  <c r="G58" i="13" s="1"/>
  <c r="C65" i="13"/>
  <c r="C64" i="13"/>
  <c r="E64" i="13"/>
  <c r="D64" i="13"/>
  <c r="F64" i="13" s="1"/>
  <c r="D108" i="13"/>
  <c r="F104" i="13"/>
  <c r="G104" i="13" s="1"/>
  <c r="E87" i="13"/>
  <c r="E65" i="13"/>
  <c r="G65" i="13" s="1"/>
  <c r="F59" i="13"/>
  <c r="G59" i="13" s="1"/>
  <c r="F82" i="13"/>
  <c r="G82" i="13" s="1"/>
  <c r="D87" i="13"/>
  <c r="C87" i="13"/>
  <c r="E88" i="13"/>
  <c r="G88" i="13" s="1"/>
  <c r="F87" i="13"/>
  <c r="H87" i="13" s="1"/>
  <c r="F88" i="13"/>
  <c r="H88" i="13" s="1"/>
  <c r="F83" i="13"/>
  <c r="G83" i="13" s="1"/>
  <c r="F81" i="13"/>
  <c r="G81" i="13" s="1"/>
  <c r="H65" i="13"/>
  <c r="A124" i="8"/>
  <c r="B123" i="8"/>
  <c r="I65" i="13" l="1"/>
  <c r="G64" i="13"/>
  <c r="H64" i="13" s="1"/>
  <c r="I64" i="13"/>
  <c r="G87" i="13"/>
  <c r="J87" i="13" s="1"/>
  <c r="I88" i="13"/>
  <c r="J88" i="13"/>
  <c r="B124" i="8"/>
  <c r="A125" i="8"/>
  <c r="I87" i="13" l="1"/>
  <c r="B125" i="8"/>
  <c r="A126" i="8"/>
  <c r="C140" i="12"/>
  <c r="C141" i="12" s="1"/>
  <c r="J133" i="12"/>
  <c r="H133" i="12"/>
  <c r="F133" i="12"/>
  <c r="D133" i="12"/>
  <c r="J132" i="12"/>
  <c r="I132" i="12"/>
  <c r="H132" i="12"/>
  <c r="G132" i="12"/>
  <c r="F132" i="12"/>
  <c r="E132" i="12"/>
  <c r="D132" i="12"/>
  <c r="C132" i="12"/>
  <c r="C134" i="12" s="1"/>
  <c r="O131" i="12"/>
  <c r="N131" i="12"/>
  <c r="M131" i="12"/>
  <c r="L131" i="12"/>
  <c r="O130" i="12"/>
  <c r="N130" i="12"/>
  <c r="M130" i="12"/>
  <c r="L130" i="12"/>
  <c r="O129" i="12"/>
  <c r="N129" i="12"/>
  <c r="M129" i="12"/>
  <c r="L129" i="12"/>
  <c r="O128" i="12"/>
  <c r="N128" i="12"/>
  <c r="M128" i="12"/>
  <c r="L128" i="12"/>
  <c r="O127" i="12"/>
  <c r="N127" i="12"/>
  <c r="M127" i="12"/>
  <c r="L127" i="12"/>
  <c r="O126" i="12"/>
  <c r="N126" i="12"/>
  <c r="M126" i="12"/>
  <c r="L126" i="12"/>
  <c r="O125" i="12"/>
  <c r="N125" i="12"/>
  <c r="M125" i="12"/>
  <c r="L125" i="12"/>
  <c r="P125" i="12" s="1"/>
  <c r="O124" i="12"/>
  <c r="N124" i="12"/>
  <c r="M124" i="12"/>
  <c r="L124" i="12"/>
  <c r="O123" i="12"/>
  <c r="N123" i="12"/>
  <c r="M123" i="12"/>
  <c r="L123" i="12"/>
  <c r="O122" i="12"/>
  <c r="N122" i="12"/>
  <c r="M122" i="12"/>
  <c r="L122" i="12"/>
  <c r="O121" i="12"/>
  <c r="N121" i="12"/>
  <c r="M121" i="12"/>
  <c r="L121" i="12"/>
  <c r="P121" i="12" s="1"/>
  <c r="O120" i="12"/>
  <c r="N120" i="12"/>
  <c r="M120" i="12"/>
  <c r="L120" i="12"/>
  <c r="P120" i="12" s="1"/>
  <c r="O119" i="12"/>
  <c r="N119" i="12"/>
  <c r="M119" i="12"/>
  <c r="L119" i="12"/>
  <c r="O118" i="12"/>
  <c r="N118" i="12"/>
  <c r="M118" i="12"/>
  <c r="L118" i="12"/>
  <c r="P118" i="12" s="1"/>
  <c r="O117" i="12"/>
  <c r="N117" i="12"/>
  <c r="M117" i="12"/>
  <c r="L117" i="12"/>
  <c r="O116" i="12"/>
  <c r="N116" i="12"/>
  <c r="M116" i="12"/>
  <c r="L116" i="12"/>
  <c r="O115" i="12"/>
  <c r="N115" i="12"/>
  <c r="M115" i="12"/>
  <c r="L115" i="12"/>
  <c r="O114" i="12"/>
  <c r="N114" i="12"/>
  <c r="M114" i="12"/>
  <c r="L114" i="12"/>
  <c r="O113" i="12"/>
  <c r="N113" i="12"/>
  <c r="M113" i="12"/>
  <c r="L113" i="12"/>
  <c r="O112" i="12"/>
  <c r="N112" i="12"/>
  <c r="M112" i="12"/>
  <c r="L112" i="12"/>
  <c r="C106" i="12"/>
  <c r="C107" i="12" s="1"/>
  <c r="O101" i="12"/>
  <c r="N101" i="12"/>
  <c r="M101" i="12"/>
  <c r="L101" i="12"/>
  <c r="O100" i="12"/>
  <c r="N100" i="12"/>
  <c r="M100" i="12"/>
  <c r="L100" i="12"/>
  <c r="O99" i="12"/>
  <c r="N99" i="12"/>
  <c r="M99" i="12"/>
  <c r="L99" i="12"/>
  <c r="P99" i="12" s="1"/>
  <c r="O98" i="12"/>
  <c r="N98" i="12"/>
  <c r="M98" i="12"/>
  <c r="L98" i="12"/>
  <c r="O97" i="12"/>
  <c r="N97" i="12"/>
  <c r="M97" i="12"/>
  <c r="L97" i="12"/>
  <c r="O96" i="12"/>
  <c r="N96" i="12"/>
  <c r="M96" i="12"/>
  <c r="L96" i="12"/>
  <c r="O95" i="12"/>
  <c r="N95" i="12"/>
  <c r="M95" i="12"/>
  <c r="L95" i="12"/>
  <c r="O94" i="12"/>
  <c r="N94" i="12"/>
  <c r="M94" i="12"/>
  <c r="L94" i="12"/>
  <c r="O93" i="12"/>
  <c r="N93" i="12"/>
  <c r="M93" i="12"/>
  <c r="L93" i="12"/>
  <c r="O92" i="12"/>
  <c r="N92" i="12"/>
  <c r="M92" i="12"/>
  <c r="L92" i="12"/>
  <c r="O91" i="12"/>
  <c r="N91" i="12"/>
  <c r="M91" i="12"/>
  <c r="L91" i="12"/>
  <c r="O90" i="12"/>
  <c r="N90" i="12"/>
  <c r="M90" i="12"/>
  <c r="L90" i="12"/>
  <c r="O89" i="12"/>
  <c r="N89" i="12"/>
  <c r="M89" i="12"/>
  <c r="L89" i="12"/>
  <c r="O88" i="12"/>
  <c r="N88" i="12"/>
  <c r="M88" i="12"/>
  <c r="P88" i="12" s="1"/>
  <c r="L88" i="12"/>
  <c r="O87" i="12"/>
  <c r="N87" i="12"/>
  <c r="M87" i="12"/>
  <c r="L87" i="12"/>
  <c r="P87" i="12" s="1"/>
  <c r="O86" i="12"/>
  <c r="N86" i="12"/>
  <c r="M86" i="12"/>
  <c r="L86" i="12"/>
  <c r="O85" i="12"/>
  <c r="N85" i="12"/>
  <c r="M85" i="12"/>
  <c r="L85" i="12"/>
  <c r="O84" i="12"/>
  <c r="N84" i="12"/>
  <c r="M84" i="12"/>
  <c r="L84" i="12"/>
  <c r="O83" i="12"/>
  <c r="N83" i="12"/>
  <c r="M83" i="12"/>
  <c r="L83" i="12"/>
  <c r="O82" i="12"/>
  <c r="N82" i="12"/>
  <c r="M82" i="12"/>
  <c r="L82" i="12"/>
  <c r="C76" i="12"/>
  <c r="C77" i="12" s="1"/>
  <c r="H69" i="12"/>
  <c r="E69" i="12"/>
  <c r="H68" i="12"/>
  <c r="G68" i="12"/>
  <c r="F68" i="12"/>
  <c r="F70" i="12" s="1"/>
  <c r="E68" i="12"/>
  <c r="E70" i="12" s="1"/>
  <c r="D68" i="12"/>
  <c r="C68" i="12"/>
  <c r="L67" i="12"/>
  <c r="K67" i="12"/>
  <c r="M67" i="12" s="1"/>
  <c r="L66" i="12"/>
  <c r="K66" i="12"/>
  <c r="L65" i="12"/>
  <c r="K65" i="12"/>
  <c r="L64" i="12"/>
  <c r="K64" i="12"/>
  <c r="M64" i="12" s="1"/>
  <c r="L63" i="12"/>
  <c r="K63" i="12"/>
  <c r="L62" i="12"/>
  <c r="K62" i="12"/>
  <c r="L61" i="12"/>
  <c r="K61" i="12"/>
  <c r="L60" i="12"/>
  <c r="K60" i="12"/>
  <c r="M60" i="12" s="1"/>
  <c r="L59" i="12"/>
  <c r="K59" i="12"/>
  <c r="L58" i="12"/>
  <c r="K58" i="12"/>
  <c r="M58" i="12" s="1"/>
  <c r="L57" i="12"/>
  <c r="K57" i="12"/>
  <c r="L56" i="12"/>
  <c r="K56" i="12"/>
  <c r="L55" i="12"/>
  <c r="K55" i="12"/>
  <c r="L54" i="12"/>
  <c r="K54" i="12"/>
  <c r="M54" i="12" s="1"/>
  <c r="L53" i="12"/>
  <c r="K53" i="12"/>
  <c r="L52" i="12"/>
  <c r="K52" i="12"/>
  <c r="L51" i="12"/>
  <c r="K51" i="12"/>
  <c r="M51" i="12" s="1"/>
  <c r="L50" i="12"/>
  <c r="K50" i="12"/>
  <c r="L49" i="12"/>
  <c r="K49" i="12"/>
  <c r="L48" i="12"/>
  <c r="K48" i="12"/>
  <c r="C42" i="12"/>
  <c r="C43" i="12" s="1"/>
  <c r="L37" i="12"/>
  <c r="K37" i="12"/>
  <c r="M37" i="12" s="1"/>
  <c r="L36" i="12"/>
  <c r="K36" i="12"/>
  <c r="L35" i="12"/>
  <c r="K35" i="12"/>
  <c r="L34" i="12"/>
  <c r="K34" i="12"/>
  <c r="M34" i="12" s="1"/>
  <c r="L33" i="12"/>
  <c r="K33" i="12"/>
  <c r="M33" i="12" s="1"/>
  <c r="L32" i="12"/>
  <c r="K32" i="12"/>
  <c r="L31" i="12"/>
  <c r="K31" i="12"/>
  <c r="L30" i="12"/>
  <c r="K30" i="12"/>
  <c r="L29" i="12"/>
  <c r="K29" i="12"/>
  <c r="L28" i="12"/>
  <c r="K28" i="12"/>
  <c r="L27" i="12"/>
  <c r="K27" i="12"/>
  <c r="L26" i="12"/>
  <c r="K26" i="12"/>
  <c r="L25" i="12"/>
  <c r="K25" i="12"/>
  <c r="L24" i="12"/>
  <c r="K24" i="12"/>
  <c r="L23" i="12"/>
  <c r="K23" i="12"/>
  <c r="L22" i="12"/>
  <c r="K22" i="12"/>
  <c r="L21" i="12"/>
  <c r="K21" i="12"/>
  <c r="M21" i="12" s="1"/>
  <c r="L20" i="12"/>
  <c r="K20" i="12"/>
  <c r="L19" i="12"/>
  <c r="K19" i="12"/>
  <c r="L18" i="12"/>
  <c r="K18" i="12"/>
  <c r="E7" i="12"/>
  <c r="D7" i="12"/>
  <c r="C7" i="12"/>
  <c r="C12" i="12" s="1"/>
  <c r="F6" i="12"/>
  <c r="F5" i="12"/>
  <c r="F4" i="12"/>
  <c r="F3" i="12"/>
  <c r="C11" i="12" s="1"/>
  <c r="G134" i="12" l="1"/>
  <c r="M20" i="12"/>
  <c r="M53" i="12"/>
  <c r="D70" i="12"/>
  <c r="P96" i="12"/>
  <c r="Q96" i="12" s="1"/>
  <c r="P100" i="12"/>
  <c r="D134" i="12"/>
  <c r="D137" i="12" s="1"/>
  <c r="E134" i="12"/>
  <c r="F134" i="12"/>
  <c r="M55" i="12"/>
  <c r="P119" i="12"/>
  <c r="H134" i="12"/>
  <c r="M27" i="12"/>
  <c r="M31" i="12"/>
  <c r="C70" i="12"/>
  <c r="P82" i="12"/>
  <c r="I134" i="12"/>
  <c r="G70" i="12"/>
  <c r="M24" i="12"/>
  <c r="M28" i="12"/>
  <c r="M48" i="12"/>
  <c r="H70" i="12"/>
  <c r="P117" i="12"/>
  <c r="P85" i="12"/>
  <c r="M66" i="12"/>
  <c r="J134" i="12"/>
  <c r="M18" i="12"/>
  <c r="M25" i="12"/>
  <c r="M52" i="12"/>
  <c r="N52" i="12" s="1"/>
  <c r="B126" i="8"/>
  <c r="A127" i="8"/>
  <c r="N60" i="12"/>
  <c r="M59" i="12"/>
  <c r="P92" i="12"/>
  <c r="P129" i="12"/>
  <c r="P112" i="12"/>
  <c r="P132" i="12"/>
  <c r="D142" i="12" s="1"/>
  <c r="N20" i="12"/>
  <c r="M49" i="12"/>
  <c r="M68" i="12"/>
  <c r="D78" i="12" s="1"/>
  <c r="M57" i="12"/>
  <c r="M102" i="12"/>
  <c r="L68" i="12"/>
  <c r="K38" i="12"/>
  <c r="M62" i="12"/>
  <c r="P84" i="12"/>
  <c r="O102" i="12"/>
  <c r="P123" i="12"/>
  <c r="M19" i="12"/>
  <c r="P90" i="12"/>
  <c r="M132" i="12"/>
  <c r="L132" i="12"/>
  <c r="L133" i="12" s="1"/>
  <c r="M32" i="12"/>
  <c r="M50" i="12"/>
  <c r="M56" i="12"/>
  <c r="P89" i="12"/>
  <c r="P128" i="12"/>
  <c r="M29" i="12"/>
  <c r="P95" i="12"/>
  <c r="P116" i="12"/>
  <c r="P127" i="12"/>
  <c r="P86" i="12"/>
  <c r="P115" i="12"/>
  <c r="M23" i="12"/>
  <c r="N102" i="12"/>
  <c r="P94" i="12"/>
  <c r="P102" i="12"/>
  <c r="Q118" i="12" s="1"/>
  <c r="M30" i="12"/>
  <c r="M36" i="12"/>
  <c r="P98" i="12"/>
  <c r="N132" i="12"/>
  <c r="M65" i="12"/>
  <c r="O132" i="12"/>
  <c r="P122" i="12"/>
  <c r="P131" i="12"/>
  <c r="M22" i="12"/>
  <c r="M26" i="12"/>
  <c r="M63" i="12"/>
  <c r="P113" i="12"/>
  <c r="F7" i="12"/>
  <c r="G4" i="12" s="1"/>
  <c r="L38" i="12"/>
  <c r="M35" i="12"/>
  <c r="K68" i="12"/>
  <c r="K69" i="12" s="1"/>
  <c r="P93" i="12"/>
  <c r="P101" i="12"/>
  <c r="P126" i="12"/>
  <c r="M38" i="12"/>
  <c r="D44" i="12" s="1"/>
  <c r="L102" i="12"/>
  <c r="P83" i="12"/>
  <c r="P114" i="12"/>
  <c r="P124" i="12"/>
  <c r="P130" i="12"/>
  <c r="M61" i="12"/>
  <c r="P91" i="12"/>
  <c r="P97" i="12"/>
  <c r="Q131" i="12" l="1"/>
  <c r="Q97" i="12"/>
  <c r="N66" i="12"/>
  <c r="D73" i="12"/>
  <c r="Q98" i="12"/>
  <c r="Q88" i="12"/>
  <c r="N35" i="12"/>
  <c r="O35" i="12" s="1"/>
  <c r="K39" i="12"/>
  <c r="O52" i="12" s="1"/>
  <c r="N58" i="12"/>
  <c r="N34" i="12"/>
  <c r="N67" i="12"/>
  <c r="N65" i="12"/>
  <c r="O65" i="12" s="1"/>
  <c r="N21" i="12"/>
  <c r="P21" i="12" s="1"/>
  <c r="N61" i="12"/>
  <c r="O61" i="12" s="1"/>
  <c r="Q89" i="12"/>
  <c r="U89" i="12" s="1"/>
  <c r="N57" i="12"/>
  <c r="O57" i="12" s="1"/>
  <c r="Q130" i="12"/>
  <c r="N63" i="12"/>
  <c r="A128" i="8"/>
  <c r="B127" i="8"/>
  <c r="Q86" i="12"/>
  <c r="R86" i="12" s="1"/>
  <c r="M133" i="12"/>
  <c r="Q87" i="12"/>
  <c r="Q116" i="12"/>
  <c r="Q123" i="12"/>
  <c r="D8" i="12"/>
  <c r="E8" i="12"/>
  <c r="J4" i="12" s="1"/>
  <c r="D108" i="12"/>
  <c r="Q100" i="12"/>
  <c r="Q91" i="12"/>
  <c r="Q124" i="12"/>
  <c r="Q126" i="12"/>
  <c r="C8" i="12"/>
  <c r="H4" i="12" s="1"/>
  <c r="M103" i="12"/>
  <c r="S97" i="12" s="1"/>
  <c r="O66" i="12"/>
  <c r="Q94" i="12"/>
  <c r="S94" i="12" s="1"/>
  <c r="O60" i="12"/>
  <c r="Q90" i="12"/>
  <c r="Q112" i="12"/>
  <c r="O63" i="12"/>
  <c r="N48" i="12"/>
  <c r="O28" i="12"/>
  <c r="O21" i="12"/>
  <c r="O64" i="12"/>
  <c r="N64" i="12"/>
  <c r="N31" i="12"/>
  <c r="N18" i="12"/>
  <c r="N37" i="12"/>
  <c r="Q117" i="12"/>
  <c r="S117" i="12" s="1"/>
  <c r="O133" i="12"/>
  <c r="N36" i="12"/>
  <c r="N103" i="12"/>
  <c r="Q127" i="12"/>
  <c r="R127" i="12" s="1"/>
  <c r="Q95" i="12"/>
  <c r="N56" i="12"/>
  <c r="Q84" i="12"/>
  <c r="N54" i="12"/>
  <c r="Q83" i="12"/>
  <c r="Q113" i="12"/>
  <c r="N30" i="12"/>
  <c r="O30" i="12" s="1"/>
  <c r="N62" i="12"/>
  <c r="Q99" i="12"/>
  <c r="I4" i="12"/>
  <c r="G6" i="12"/>
  <c r="I6" i="12" s="1"/>
  <c r="L103" i="12"/>
  <c r="Q122" i="12"/>
  <c r="O103" i="12"/>
  <c r="Q92" i="12"/>
  <c r="Q114" i="12"/>
  <c r="Q101" i="12"/>
  <c r="U101" i="12" s="1"/>
  <c r="N26" i="12"/>
  <c r="Q82" i="12"/>
  <c r="N22" i="12"/>
  <c r="O22" i="12" s="1"/>
  <c r="Q125" i="12"/>
  <c r="N23" i="12"/>
  <c r="N50" i="12"/>
  <c r="O50" i="12" s="1"/>
  <c r="N32" i="12"/>
  <c r="P32" i="12" s="1"/>
  <c r="L69" i="12"/>
  <c r="D75" i="12" s="1"/>
  <c r="E75" i="12" s="1"/>
  <c r="N49" i="12"/>
  <c r="P49" i="12" s="1"/>
  <c r="N59" i="12"/>
  <c r="N27" i="12"/>
  <c r="N33" i="12"/>
  <c r="O33" i="12" s="1"/>
  <c r="Q120" i="12"/>
  <c r="Q93" i="12"/>
  <c r="R93" i="12" s="1"/>
  <c r="L39" i="12"/>
  <c r="P57" i="12" s="1"/>
  <c r="N133" i="12"/>
  <c r="N28" i="12"/>
  <c r="Q128" i="12"/>
  <c r="O49" i="12"/>
  <c r="O36" i="12"/>
  <c r="Q121" i="12"/>
  <c r="U121" i="12" s="1"/>
  <c r="G5" i="12"/>
  <c r="I5" i="12" s="1"/>
  <c r="N24" i="12"/>
  <c r="O24" i="12" s="1"/>
  <c r="O20" i="12"/>
  <c r="Q85" i="12"/>
  <c r="U85" i="12" s="1"/>
  <c r="Q115" i="12"/>
  <c r="N29" i="12"/>
  <c r="O29" i="12" s="1"/>
  <c r="G3" i="12"/>
  <c r="I3" i="12" s="1"/>
  <c r="N19" i="12"/>
  <c r="N55" i="12"/>
  <c r="N25" i="12"/>
  <c r="Q129" i="12"/>
  <c r="T129" i="12" s="1"/>
  <c r="Q119" i="12"/>
  <c r="N53" i="12"/>
  <c r="N51" i="12"/>
  <c r="O51" i="12" s="1"/>
  <c r="O32" i="12" l="1"/>
  <c r="P37" i="12"/>
  <c r="S119" i="12"/>
  <c r="P55" i="12"/>
  <c r="S96" i="12"/>
  <c r="P62" i="12"/>
  <c r="S125" i="12"/>
  <c r="U98" i="12"/>
  <c r="P31" i="12"/>
  <c r="S112" i="12"/>
  <c r="P25" i="12"/>
  <c r="T89" i="12"/>
  <c r="T90" i="12"/>
  <c r="S124" i="12"/>
  <c r="P34" i="12"/>
  <c r="P36" i="12"/>
  <c r="U118" i="12"/>
  <c r="R97" i="12"/>
  <c r="O55" i="12"/>
  <c r="T130" i="12"/>
  <c r="O58" i="12"/>
  <c r="S101" i="12"/>
  <c r="R88" i="12"/>
  <c r="P53" i="12"/>
  <c r="P26" i="12"/>
  <c r="U82" i="12"/>
  <c r="U83" i="12"/>
  <c r="P58" i="12"/>
  <c r="U91" i="12"/>
  <c r="U94" i="12"/>
  <c r="H5" i="12"/>
  <c r="O27" i="12"/>
  <c r="R92" i="12"/>
  <c r="R82" i="12"/>
  <c r="H6" i="12"/>
  <c r="O54" i="12"/>
  <c r="P51" i="12"/>
  <c r="O67" i="12"/>
  <c r="S99" i="12"/>
  <c r="U115" i="12"/>
  <c r="P60" i="12"/>
  <c r="S121" i="12"/>
  <c r="P28" i="12"/>
  <c r="O59" i="12"/>
  <c r="O23" i="12"/>
  <c r="O26" i="12"/>
  <c r="S116" i="12"/>
  <c r="U99" i="12"/>
  <c r="D139" i="12"/>
  <c r="E139" i="12" s="1"/>
  <c r="P27" i="12"/>
  <c r="S88" i="12"/>
  <c r="U88" i="12"/>
  <c r="U116" i="12"/>
  <c r="P66" i="12"/>
  <c r="P61" i="12"/>
  <c r="O34" i="12"/>
  <c r="U97" i="12"/>
  <c r="R126" i="12"/>
  <c r="U92" i="12"/>
  <c r="O62" i="12"/>
  <c r="P33" i="12"/>
  <c r="P65" i="12"/>
  <c r="P35" i="12"/>
  <c r="S100" i="12"/>
  <c r="O53" i="12"/>
  <c r="O19" i="12"/>
  <c r="P20" i="12"/>
  <c r="S92" i="12"/>
  <c r="S95" i="12"/>
  <c r="P24" i="12"/>
  <c r="R120" i="12"/>
  <c r="U84" i="12"/>
  <c r="R121" i="12"/>
  <c r="R101" i="12"/>
  <c r="T121" i="12"/>
  <c r="T115" i="12"/>
  <c r="T118" i="12"/>
  <c r="R94" i="12"/>
  <c r="T99" i="12"/>
  <c r="R112" i="12"/>
  <c r="T93" i="12"/>
  <c r="T98" i="12"/>
  <c r="U131" i="12"/>
  <c r="R122" i="12"/>
  <c r="T87" i="12"/>
  <c r="T114" i="12"/>
  <c r="R129" i="12"/>
  <c r="T94" i="12"/>
  <c r="T101" i="12"/>
  <c r="R113" i="12"/>
  <c r="R90" i="12"/>
  <c r="T116" i="12"/>
  <c r="U95" i="12"/>
  <c r="U117" i="12"/>
  <c r="U123" i="12"/>
  <c r="J6" i="12"/>
  <c r="B128" i="8"/>
  <c r="A129" i="8"/>
  <c r="T125" i="12"/>
  <c r="P22" i="12"/>
  <c r="O37" i="12"/>
  <c r="R114" i="12"/>
  <c r="S118" i="12"/>
  <c r="T82" i="12"/>
  <c r="S126" i="12"/>
  <c r="D40" i="12"/>
  <c r="E40" i="12" s="1"/>
  <c r="P23" i="12"/>
  <c r="T83" i="12"/>
  <c r="U122" i="12"/>
  <c r="S129" i="12"/>
  <c r="T131" i="12"/>
  <c r="R100" i="12"/>
  <c r="T96" i="12"/>
  <c r="S114" i="12"/>
  <c r="U113" i="12"/>
  <c r="U129" i="12"/>
  <c r="R124" i="12"/>
  <c r="T88" i="12"/>
  <c r="T84" i="12"/>
  <c r="T126" i="12"/>
  <c r="R131" i="12"/>
  <c r="U100" i="12"/>
  <c r="D138" i="12"/>
  <c r="S85" i="12"/>
  <c r="R117" i="12"/>
  <c r="S91" i="12"/>
  <c r="D74" i="12"/>
  <c r="T119" i="12"/>
  <c r="R125" i="12"/>
  <c r="U125" i="12"/>
  <c r="U90" i="12"/>
  <c r="J3" i="12"/>
  <c r="O31" i="12"/>
  <c r="S86" i="12"/>
  <c r="P29" i="12"/>
  <c r="S93" i="12"/>
  <c r="S115" i="12"/>
  <c r="U126" i="12"/>
  <c r="T95" i="12"/>
  <c r="S90" i="12"/>
  <c r="P54" i="12"/>
  <c r="O25" i="12"/>
  <c r="P18" i="12"/>
  <c r="P64" i="12"/>
  <c r="O48" i="12"/>
  <c r="U124" i="12"/>
  <c r="T124" i="12"/>
  <c r="R98" i="12"/>
  <c r="R87" i="12"/>
  <c r="R96" i="12"/>
  <c r="T120" i="12"/>
  <c r="R83" i="12"/>
  <c r="U93" i="12"/>
  <c r="T117" i="12"/>
  <c r="S82" i="12"/>
  <c r="U119" i="12"/>
  <c r="S89" i="12"/>
  <c r="R91" i="12"/>
  <c r="R85" i="12"/>
  <c r="U96" i="12"/>
  <c r="R119" i="12"/>
  <c r="T113" i="12"/>
  <c r="U120" i="12"/>
  <c r="T91" i="12"/>
  <c r="S87" i="12"/>
  <c r="T123" i="12"/>
  <c r="T85" i="12"/>
  <c r="R123" i="12"/>
  <c r="S127" i="12"/>
  <c r="R115" i="12"/>
  <c r="R95" i="12"/>
  <c r="S131" i="12"/>
  <c r="P30" i="12"/>
  <c r="P52" i="12"/>
  <c r="S113" i="12"/>
  <c r="R116" i="12"/>
  <c r="R118" i="12"/>
  <c r="S130" i="12"/>
  <c r="T86" i="12"/>
  <c r="S83" i="12"/>
  <c r="S122" i="12"/>
  <c r="T100" i="12"/>
  <c r="D41" i="12"/>
  <c r="E41" i="12" s="1"/>
  <c r="D104" i="12"/>
  <c r="E104" i="12" s="1"/>
  <c r="H3" i="12"/>
  <c r="O56" i="12"/>
  <c r="P56" i="12"/>
  <c r="S120" i="12"/>
  <c r="U114" i="12"/>
  <c r="D105" i="12"/>
  <c r="E105" i="12" s="1"/>
  <c r="J5" i="12"/>
  <c r="P48" i="12"/>
  <c r="P59" i="12"/>
  <c r="R99" i="12"/>
  <c r="T127" i="12"/>
  <c r="U130" i="12"/>
  <c r="U128" i="12"/>
  <c r="T128" i="12"/>
  <c r="P50" i="12"/>
  <c r="S84" i="12"/>
  <c r="P67" i="12"/>
  <c r="S128" i="12"/>
  <c r="S98" i="12"/>
  <c r="T112" i="12"/>
  <c r="T97" i="12"/>
  <c r="R128" i="12"/>
  <c r="T122" i="12"/>
  <c r="U112" i="12"/>
  <c r="U127" i="12"/>
  <c r="O18" i="12"/>
  <c r="P19" i="12"/>
  <c r="S123" i="12"/>
  <c r="U86" i="12"/>
  <c r="R130" i="12"/>
  <c r="U87" i="12"/>
  <c r="T92" i="12"/>
  <c r="R89" i="12"/>
  <c r="R84" i="12"/>
  <c r="P63" i="12"/>
  <c r="C13" i="12" l="1"/>
  <c r="C14" i="12" s="1"/>
  <c r="D106" i="12"/>
  <c r="E106" i="12" s="1"/>
  <c r="D140" i="12"/>
  <c r="E140" i="12" s="1"/>
  <c r="B129" i="8"/>
  <c r="A130" i="8"/>
  <c r="D42" i="12"/>
  <c r="E42" i="12" s="1"/>
  <c r="D76" i="12"/>
  <c r="E76" i="12" s="1"/>
  <c r="E138" i="12"/>
  <c r="E74" i="12"/>
  <c r="D107" i="12" l="1"/>
  <c r="E107" i="12" s="1"/>
  <c r="F107" i="12" s="1"/>
  <c r="D141" i="12"/>
  <c r="E141" i="12" s="1"/>
  <c r="D77" i="12"/>
  <c r="E77" i="12" s="1"/>
  <c r="F77" i="12" s="1"/>
  <c r="D43" i="12"/>
  <c r="E43" i="12" s="1"/>
  <c r="F41" i="12" s="1"/>
  <c r="A131" i="8"/>
  <c r="B130" i="8"/>
  <c r="F141" i="12"/>
  <c r="F42" i="12" l="1"/>
  <c r="F74" i="12"/>
  <c r="G74" i="12" s="1"/>
  <c r="F76" i="12"/>
  <c r="F75" i="12"/>
  <c r="F43" i="12"/>
  <c r="F40" i="12"/>
  <c r="G40" i="12" s="1"/>
  <c r="A132" i="8"/>
  <c r="B131" i="8"/>
  <c r="D12" i="12"/>
  <c r="D11" i="12"/>
  <c r="D13" i="12"/>
  <c r="B132" i="8" l="1"/>
  <c r="A133" i="8"/>
  <c r="G159" i="11"/>
  <c r="F159" i="11"/>
  <c r="E159" i="11"/>
  <c r="G158" i="11"/>
  <c r="F158" i="11"/>
  <c r="E158" i="11"/>
  <c r="G157" i="11"/>
  <c r="F157" i="11"/>
  <c r="E157" i="11"/>
  <c r="G156" i="11"/>
  <c r="F156" i="11"/>
  <c r="E156" i="11"/>
  <c r="G155" i="11"/>
  <c r="F155" i="11"/>
  <c r="E155" i="11"/>
  <c r="G154" i="11"/>
  <c r="F154" i="11"/>
  <c r="E154" i="11"/>
  <c r="G153" i="11"/>
  <c r="F153" i="11"/>
  <c r="E153" i="11"/>
  <c r="G152" i="11"/>
  <c r="F152" i="11"/>
  <c r="E152" i="11"/>
  <c r="G151" i="11"/>
  <c r="F151" i="11"/>
  <c r="E151" i="11"/>
  <c r="M133" i="11"/>
  <c r="L133" i="11"/>
  <c r="K133" i="11"/>
  <c r="J133" i="11"/>
  <c r="M132" i="11"/>
  <c r="L132" i="11"/>
  <c r="K132" i="11"/>
  <c r="J132" i="11"/>
  <c r="M131" i="11"/>
  <c r="L131" i="11"/>
  <c r="K131" i="11"/>
  <c r="J131" i="11"/>
  <c r="M130" i="11"/>
  <c r="L130" i="11"/>
  <c r="K130" i="11"/>
  <c r="J130" i="11"/>
  <c r="M129" i="11"/>
  <c r="L129" i="11"/>
  <c r="K129" i="11"/>
  <c r="J129" i="11"/>
  <c r="M128" i="11"/>
  <c r="L128" i="11"/>
  <c r="K128" i="11"/>
  <c r="J128" i="11"/>
  <c r="M127" i="11"/>
  <c r="L127" i="11"/>
  <c r="K127" i="11"/>
  <c r="J127" i="11"/>
  <c r="M126" i="11"/>
  <c r="L126" i="11"/>
  <c r="K126" i="11"/>
  <c r="J126" i="11"/>
  <c r="M125" i="11"/>
  <c r="L125" i="11"/>
  <c r="K125" i="11"/>
  <c r="J125" i="11"/>
  <c r="G89" i="11"/>
  <c r="F89" i="11"/>
  <c r="E89" i="11"/>
  <c r="D86" i="11"/>
  <c r="D85" i="11"/>
  <c r="D93" i="11" s="1"/>
  <c r="D84" i="11"/>
  <c r="D90" i="11" s="1"/>
  <c r="G76" i="11"/>
  <c r="F76" i="11"/>
  <c r="D76" i="11"/>
  <c r="G75" i="11"/>
  <c r="E75" i="11"/>
  <c r="D75" i="11"/>
  <c r="F74" i="11"/>
  <c r="E74" i="11"/>
  <c r="D74" i="11"/>
  <c r="G73" i="11"/>
  <c r="F73" i="11"/>
  <c r="E73" i="11"/>
  <c r="AE37" i="11"/>
  <c r="H37" i="11"/>
  <c r="F37" i="11"/>
  <c r="E37" i="11"/>
  <c r="AE24" i="11"/>
  <c r="F24" i="11"/>
  <c r="E24" i="11"/>
  <c r="AE11" i="11"/>
  <c r="H11" i="11"/>
  <c r="F11" i="11"/>
  <c r="E11" i="11"/>
  <c r="G11" i="11" s="1"/>
  <c r="H76" i="11" l="1"/>
  <c r="H75" i="11"/>
  <c r="H74" i="11"/>
  <c r="I76" i="11"/>
  <c r="I75" i="11"/>
  <c r="I74" i="11"/>
  <c r="I78" i="11" s="1"/>
  <c r="H77" i="11"/>
  <c r="H78" i="11" s="1"/>
  <c r="C77" i="11"/>
  <c r="C78" i="11" s="1"/>
  <c r="AD37" i="11"/>
  <c r="C38" i="11"/>
  <c r="B38" i="11"/>
  <c r="AD24" i="11"/>
  <c r="B25" i="11"/>
  <c r="C25" i="11"/>
  <c r="B12" i="11"/>
  <c r="C12" i="11"/>
  <c r="M11" i="11"/>
  <c r="Z11" i="11" s="1"/>
  <c r="AC37" i="11"/>
  <c r="D91" i="11"/>
  <c r="E135" i="11" a="1"/>
  <c r="K143" i="11" s="1"/>
  <c r="B133" i="8"/>
  <c r="A134" i="8"/>
  <c r="G24" i="11"/>
  <c r="V24" i="11" s="1"/>
  <c r="E160" i="11"/>
  <c r="E161" i="11" s="1"/>
  <c r="H92" i="11"/>
  <c r="I92" i="11" s="1"/>
  <c r="H94" i="11"/>
  <c r="I94" i="11" s="1"/>
  <c r="H90" i="11"/>
  <c r="AD11" i="11"/>
  <c r="AC11" i="11"/>
  <c r="T11" i="11"/>
  <c r="V11" i="11"/>
  <c r="U11" i="11"/>
  <c r="L11" i="11"/>
  <c r="H93" i="11"/>
  <c r="I93" i="11" s="1"/>
  <c r="F160" i="11"/>
  <c r="F161" i="11" s="1"/>
  <c r="AC24" i="11"/>
  <c r="AA11" i="11"/>
  <c r="G160" i="11"/>
  <c r="G161" i="11" s="1"/>
  <c r="H95" i="11"/>
  <c r="I95" i="11" s="1"/>
  <c r="K11" i="11"/>
  <c r="G37" i="11"/>
  <c r="V37" i="11" s="1"/>
  <c r="J37" i="11"/>
  <c r="K37" i="11"/>
  <c r="E67" i="11"/>
  <c r="D92" i="11"/>
  <c r="D94" i="11"/>
  <c r="H91" i="11"/>
  <c r="I91" i="11" s="1"/>
  <c r="D95" i="11"/>
  <c r="D175" i="11"/>
  <c r="C96" i="11" l="1"/>
  <c r="C79" i="11"/>
  <c r="B26" i="11"/>
  <c r="J24" i="11"/>
  <c r="P11" i="11"/>
  <c r="D16" i="11"/>
  <c r="C16" i="11"/>
  <c r="B16" i="11"/>
  <c r="B18" i="11" s="1"/>
  <c r="B42" i="11"/>
  <c r="B39" i="11"/>
  <c r="B13" i="11"/>
  <c r="J64" i="11"/>
  <c r="T24" i="11"/>
  <c r="G140" i="11"/>
  <c r="J140" i="11"/>
  <c r="M138" i="11"/>
  <c r="L140" i="11"/>
  <c r="F139" i="11"/>
  <c r="I141" i="11"/>
  <c r="E142" i="11"/>
  <c r="E135" i="11"/>
  <c r="I140" i="11"/>
  <c r="L135" i="11"/>
  <c r="G143" i="11"/>
  <c r="G135" i="11"/>
  <c r="H143" i="11"/>
  <c r="J142" i="11"/>
  <c r="M140" i="11"/>
  <c r="G139" i="11"/>
  <c r="L136" i="11"/>
  <c r="J139" i="11"/>
  <c r="J138" i="11"/>
  <c r="H140" i="11"/>
  <c r="K140" i="11"/>
  <c r="K139" i="11"/>
  <c r="H136" i="11"/>
  <c r="J135" i="11"/>
  <c r="K142" i="11"/>
  <c r="E141" i="11"/>
  <c r="F142" i="11"/>
  <c r="H142" i="11"/>
  <c r="M141" i="11"/>
  <c r="I139" i="11"/>
  <c r="G141" i="11"/>
  <c r="G142" i="11"/>
  <c r="H141" i="11"/>
  <c r="F138" i="11"/>
  <c r="J141" i="11"/>
  <c r="K141" i="11"/>
  <c r="E140" i="11"/>
  <c r="H138" i="11"/>
  <c r="E136" i="11"/>
  <c r="G136" i="11"/>
  <c r="I135" i="11"/>
  <c r="I143" i="11"/>
  <c r="F140" i="11"/>
  <c r="M143" i="11"/>
  <c r="F141" i="11"/>
  <c r="M142" i="11"/>
  <c r="L139" i="11"/>
  <c r="G137" i="11"/>
  <c r="J143" i="11"/>
  <c r="M135" i="11"/>
  <c r="F135" i="11"/>
  <c r="F143" i="11"/>
  <c r="F136" i="11"/>
  <c r="L138" i="11"/>
  <c r="H135" i="11"/>
  <c r="E139" i="11"/>
  <c r="H137" i="11"/>
  <c r="K135" i="11"/>
  <c r="L142" i="11"/>
  <c r="M136" i="11"/>
  <c r="K136" i="11"/>
  <c r="H139" i="11"/>
  <c r="I142" i="11"/>
  <c r="I137" i="11"/>
  <c r="J65" i="11"/>
  <c r="I138" i="11"/>
  <c r="J137" i="11"/>
  <c r="L137" i="11"/>
  <c r="E137" i="11"/>
  <c r="L141" i="11"/>
  <c r="I136" i="11"/>
  <c r="J78" i="11"/>
  <c r="L143" i="11"/>
  <c r="E143" i="11"/>
  <c r="K137" i="11"/>
  <c r="K138" i="11"/>
  <c r="M137" i="11"/>
  <c r="F137" i="11"/>
  <c r="E138" i="11"/>
  <c r="M139" i="11"/>
  <c r="G138" i="11"/>
  <c r="J136" i="11"/>
  <c r="B134" i="8"/>
  <c r="A135" i="8"/>
  <c r="G171" i="11"/>
  <c r="K24" i="11"/>
  <c r="Q11" i="11"/>
  <c r="S11" i="11"/>
  <c r="R11" i="11"/>
  <c r="N37" i="11"/>
  <c r="S37" i="11"/>
  <c r="R37" i="11"/>
  <c r="Q37" i="11"/>
  <c r="L24" i="11"/>
  <c r="I65" i="11"/>
  <c r="I90" i="11"/>
  <c r="I97" i="11" s="1"/>
  <c r="E175" i="11"/>
  <c r="H96" i="11"/>
  <c r="H97" i="11" s="1"/>
  <c r="M24" i="11"/>
  <c r="Z24" i="11" s="1"/>
  <c r="C175" i="11"/>
  <c r="T37" i="11"/>
  <c r="L37" i="11"/>
  <c r="U37" i="11"/>
  <c r="M37" i="11"/>
  <c r="Z37" i="11" s="1"/>
  <c r="AA37" i="11"/>
  <c r="AA24" i="11"/>
  <c r="G173" i="11"/>
  <c r="D180" i="11" s="1"/>
  <c r="G172" i="11"/>
  <c r="C179" i="11" s="1"/>
  <c r="O11" i="11"/>
  <c r="N11" i="11"/>
  <c r="U24" i="11"/>
  <c r="D178" i="11" l="1"/>
  <c r="G178" i="11"/>
  <c r="C178" i="11"/>
  <c r="H178" i="11"/>
  <c r="Y11" i="11"/>
  <c r="B40" i="11"/>
  <c r="C41" i="11"/>
  <c r="D41" i="11"/>
  <c r="B41" i="11"/>
  <c r="P37" i="11"/>
  <c r="D42" i="11"/>
  <c r="W11" i="11"/>
  <c r="P24" i="11"/>
  <c r="D29" i="11"/>
  <c r="B29" i="11"/>
  <c r="C29" i="11"/>
  <c r="C42" i="11"/>
  <c r="C28" i="11"/>
  <c r="D28" i="11"/>
  <c r="B28" i="11"/>
  <c r="B27" i="11"/>
  <c r="C15" i="11"/>
  <c r="C17" i="11" s="1"/>
  <c r="D15" i="11"/>
  <c r="D17" i="11" s="1"/>
  <c r="B15" i="11"/>
  <c r="B14" i="11"/>
  <c r="E179" i="11"/>
  <c r="D135" i="11" a="1"/>
  <c r="E178" i="11"/>
  <c r="E180" i="11"/>
  <c r="A136" i="8"/>
  <c r="B135" i="8"/>
  <c r="D179" i="11"/>
  <c r="O37" i="11"/>
  <c r="X37" i="11" s="1"/>
  <c r="X11" i="11"/>
  <c r="AB11" i="11"/>
  <c r="AB37" i="11"/>
  <c r="W37" i="11"/>
  <c r="C98" i="11"/>
  <c r="C180" i="11"/>
  <c r="Y37" i="11"/>
  <c r="N24" i="11"/>
  <c r="O24" i="11"/>
  <c r="S24" i="11"/>
  <c r="R24" i="11"/>
  <c r="Q24" i="11"/>
  <c r="J97" i="11"/>
  <c r="I178" i="11" l="1"/>
  <c r="J178" i="11" s="1"/>
  <c r="F179" i="11"/>
  <c r="Y24" i="11"/>
  <c r="C43" i="11"/>
  <c r="B44" i="11"/>
  <c r="B43" i="11"/>
  <c r="B46" i="11"/>
  <c r="B31" i="11"/>
  <c r="B30" i="11"/>
  <c r="B33" i="11"/>
  <c r="D30" i="11"/>
  <c r="B17" i="11"/>
  <c r="B19" i="11" s="1"/>
  <c r="B20" i="11"/>
  <c r="D43" i="11"/>
  <c r="X24" i="11"/>
  <c r="C30" i="11"/>
  <c r="D143" i="11"/>
  <c r="D136" i="11"/>
  <c r="D135" i="11"/>
  <c r="D142" i="11"/>
  <c r="D141" i="11"/>
  <c r="D140" i="11"/>
  <c r="D138" i="11"/>
  <c r="D139" i="11"/>
  <c r="D137" i="11"/>
  <c r="B136" i="8"/>
  <c r="A137" i="8"/>
  <c r="W24" i="11"/>
  <c r="AB24" i="11"/>
  <c r="B32" i="11" l="1"/>
  <c r="B45" i="11"/>
  <c r="B137" i="8"/>
  <c r="A138" i="8"/>
  <c r="C269" i="10"/>
  <c r="G255" i="10"/>
  <c r="D270" i="10" s="1"/>
  <c r="G254" i="10"/>
  <c r="E260" i="10" s="1"/>
  <c r="G253" i="10"/>
  <c r="D260" i="10" s="1"/>
  <c r="G252" i="10"/>
  <c r="C260" i="10" s="1"/>
  <c r="G251" i="10"/>
  <c r="E259" i="10" s="1"/>
  <c r="G250" i="10"/>
  <c r="D259" i="10" s="1"/>
  <c r="G249" i="10"/>
  <c r="C259" i="10" s="1"/>
  <c r="G248" i="10"/>
  <c r="E258" i="10" s="1"/>
  <c r="G247" i="10"/>
  <c r="D258" i="10" s="1"/>
  <c r="G246" i="10"/>
  <c r="C258" i="10" s="1"/>
  <c r="C242" i="10"/>
  <c r="I229" i="10"/>
  <c r="D233" i="10" s="1"/>
  <c r="I228" i="10"/>
  <c r="C233" i="10" s="1"/>
  <c r="I227" i="10"/>
  <c r="D232" i="10" s="1"/>
  <c r="I226" i="10"/>
  <c r="C232" i="10" s="1"/>
  <c r="B205" i="10"/>
  <c r="F205" i="10" s="1"/>
  <c r="K215" i="10" s="1"/>
  <c r="F204" i="10"/>
  <c r="G211" i="10" s="1"/>
  <c r="E204" i="10"/>
  <c r="I213" i="10" s="1"/>
  <c r="D204" i="10"/>
  <c r="G210" i="10" s="1"/>
  <c r="C204" i="10"/>
  <c r="G207" i="10" s="1"/>
  <c r="K200" i="10"/>
  <c r="K201" i="10" s="1"/>
  <c r="J200" i="10"/>
  <c r="J201" i="10" s="1"/>
  <c r="H200" i="10"/>
  <c r="H201" i="10" s="1"/>
  <c r="G201" i="10"/>
  <c r="K198" i="10"/>
  <c r="K199" i="10" s="1"/>
  <c r="J198" i="10"/>
  <c r="J199" i="10" s="1"/>
  <c r="H198" i="10"/>
  <c r="H199" i="10" s="1"/>
  <c r="G198" i="10"/>
  <c r="G199" i="10" s="1"/>
  <c r="K196" i="10"/>
  <c r="K197" i="10" s="1"/>
  <c r="J196" i="10"/>
  <c r="J197" i="10" s="1"/>
  <c r="H196" i="10"/>
  <c r="H197" i="10" s="1"/>
  <c r="G196" i="10"/>
  <c r="G197" i="10" s="1"/>
  <c r="K194" i="10"/>
  <c r="K195" i="10" s="1"/>
  <c r="J194" i="10"/>
  <c r="J195" i="10" s="1"/>
  <c r="H194" i="10"/>
  <c r="H195" i="10" s="1"/>
  <c r="G194" i="10"/>
  <c r="I193" i="10"/>
  <c r="I192" i="10"/>
  <c r="I191" i="10"/>
  <c r="I190" i="10"/>
  <c r="I189" i="10"/>
  <c r="I188" i="10"/>
  <c r="I187" i="10"/>
  <c r="I186" i="10"/>
  <c r="I185" i="10"/>
  <c r="K171" i="10"/>
  <c r="J171" i="10"/>
  <c r="I171" i="10"/>
  <c r="H171" i="10"/>
  <c r="K170" i="10"/>
  <c r="J170" i="10"/>
  <c r="I170" i="10"/>
  <c r="H170" i="10"/>
  <c r="K169" i="10"/>
  <c r="J169" i="10"/>
  <c r="I169" i="10"/>
  <c r="H169" i="10"/>
  <c r="K168" i="10"/>
  <c r="J168" i="10"/>
  <c r="I168" i="10"/>
  <c r="H168" i="10"/>
  <c r="K167" i="10"/>
  <c r="J167" i="10"/>
  <c r="I167" i="10"/>
  <c r="H167" i="10"/>
  <c r="K166" i="10"/>
  <c r="J166" i="10"/>
  <c r="I166" i="10"/>
  <c r="H166" i="10"/>
  <c r="K165" i="10"/>
  <c r="J165" i="10"/>
  <c r="I165" i="10"/>
  <c r="H165" i="10"/>
  <c r="K164" i="10"/>
  <c r="J164" i="10"/>
  <c r="I164" i="10"/>
  <c r="H164" i="10"/>
  <c r="K163" i="10"/>
  <c r="J163" i="10"/>
  <c r="I163" i="10"/>
  <c r="H163" i="10"/>
  <c r="S141" i="10"/>
  <c r="B146" i="10" s="1"/>
  <c r="C146" i="10" s="1"/>
  <c r="S140" i="10"/>
  <c r="B145" i="10" s="1"/>
  <c r="C145" i="10" s="1"/>
  <c r="S139" i="10"/>
  <c r="B144" i="10" s="1"/>
  <c r="S138" i="10"/>
  <c r="H102" i="10"/>
  <c r="G102" i="10"/>
  <c r="F102" i="10"/>
  <c r="D102" i="10"/>
  <c r="C102" i="10"/>
  <c r="B102" i="10"/>
  <c r="D108" i="10" l="1"/>
  <c r="E108" i="10" s="1"/>
  <c r="D107" i="10"/>
  <c r="E107" i="10" s="1"/>
  <c r="D109" i="10"/>
  <c r="E109" i="10" s="1"/>
  <c r="D110" i="10"/>
  <c r="E110" i="10" s="1"/>
  <c r="D111" i="10"/>
  <c r="E111" i="10" s="1"/>
  <c r="D112" i="10"/>
  <c r="E112" i="10" s="1"/>
  <c r="D113" i="10"/>
  <c r="D114" i="10"/>
  <c r="D115" i="10"/>
  <c r="D117" i="10"/>
  <c r="D118" i="10"/>
  <c r="D119" i="10"/>
  <c r="D120" i="10"/>
  <c r="D121" i="10"/>
  <c r="D122" i="10"/>
  <c r="C113" i="10"/>
  <c r="C114" i="10"/>
  <c r="C115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F113" i="10"/>
  <c r="F114" i="10"/>
  <c r="F115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I134" i="10" s="1"/>
  <c r="B117" i="10"/>
  <c r="E117" i="10" s="1"/>
  <c r="B118" i="10"/>
  <c r="E118" i="10" s="1"/>
  <c r="B119" i="10"/>
  <c r="B120" i="10"/>
  <c r="B121" i="10"/>
  <c r="B122" i="10"/>
  <c r="B123" i="10"/>
  <c r="E123" i="10" s="1"/>
  <c r="B124" i="10"/>
  <c r="E124" i="10" s="1"/>
  <c r="B125" i="10"/>
  <c r="E125" i="10" s="1"/>
  <c r="B126" i="10"/>
  <c r="E126" i="10" s="1"/>
  <c r="B127" i="10"/>
  <c r="B128" i="10"/>
  <c r="B129" i="10"/>
  <c r="B130" i="10"/>
  <c r="B131" i="10"/>
  <c r="E131" i="10" s="1"/>
  <c r="B132" i="10"/>
  <c r="E132" i="10" s="1"/>
  <c r="G110" i="10"/>
  <c r="I110" i="10" s="1"/>
  <c r="G111" i="10"/>
  <c r="I111" i="10" s="1"/>
  <c r="G112" i="10"/>
  <c r="G113" i="10"/>
  <c r="G114" i="10"/>
  <c r="G115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H104" i="10"/>
  <c r="I104" i="10" s="1"/>
  <c r="H106" i="10"/>
  <c r="I106" i="10" s="1"/>
  <c r="H108" i="10"/>
  <c r="I108" i="10" s="1"/>
  <c r="H107" i="10"/>
  <c r="I107" i="10" s="1"/>
  <c r="H105" i="10"/>
  <c r="I105" i="10" s="1"/>
  <c r="H109" i="10"/>
  <c r="I109" i="10" s="1"/>
  <c r="H110" i="10"/>
  <c r="H111" i="10"/>
  <c r="H112" i="10"/>
  <c r="H113" i="10"/>
  <c r="H114" i="10"/>
  <c r="H115" i="10"/>
  <c r="H117" i="10"/>
  <c r="H118" i="10"/>
  <c r="H119" i="10"/>
  <c r="H120" i="10"/>
  <c r="H121" i="10"/>
  <c r="H122" i="10"/>
  <c r="H123" i="10"/>
  <c r="H124" i="10"/>
  <c r="H125" i="10"/>
  <c r="I207" i="10"/>
  <c r="J207" i="10"/>
  <c r="I215" i="10"/>
  <c r="M163" i="10" a="1"/>
  <c r="P171" i="10" s="1"/>
  <c r="H215" i="10"/>
  <c r="K9" i="10"/>
  <c r="C261" i="10"/>
  <c r="H211" i="10"/>
  <c r="E233" i="10"/>
  <c r="H212" i="10"/>
  <c r="I211" i="10"/>
  <c r="I209" i="10"/>
  <c r="G208" i="10"/>
  <c r="G220" i="10" s="1"/>
  <c r="G221" i="10" s="1"/>
  <c r="I208" i="10"/>
  <c r="J209" i="10"/>
  <c r="C205" i="10"/>
  <c r="K207" i="10" s="1"/>
  <c r="A139" i="8"/>
  <c r="B138" i="8"/>
  <c r="D234" i="10"/>
  <c r="D261" i="10"/>
  <c r="F261" i="10"/>
  <c r="F259" i="10"/>
  <c r="E232" i="10"/>
  <c r="C234" i="10"/>
  <c r="F258" i="10"/>
  <c r="E261" i="10"/>
  <c r="D205" i="10"/>
  <c r="K209" i="10" s="1"/>
  <c r="F260" i="10"/>
  <c r="J215" i="10"/>
  <c r="I212" i="10"/>
  <c r="I200" i="10"/>
  <c r="I201" i="10" s="1"/>
  <c r="J213" i="10"/>
  <c r="B143" i="10"/>
  <c r="C143" i="10" s="1"/>
  <c r="C144" i="10"/>
  <c r="E205" i="10"/>
  <c r="K213" i="10" s="1"/>
  <c r="H214" i="10"/>
  <c r="I194" i="10"/>
  <c r="I195" i="10" s="1"/>
  <c r="I196" i="10"/>
  <c r="I197" i="10" s="1"/>
  <c r="I198" i="10"/>
  <c r="I199" i="10" s="1"/>
  <c r="I210" i="10"/>
  <c r="I214" i="10"/>
  <c r="D265" i="10"/>
  <c r="E265" i="10" s="1"/>
  <c r="E130" i="10" l="1"/>
  <c r="E114" i="10"/>
  <c r="C147" i="10"/>
  <c r="C148" i="10" s="1"/>
  <c r="I120" i="10"/>
  <c r="I119" i="10"/>
  <c r="I118" i="10"/>
  <c r="G218" i="10"/>
  <c r="G219" i="10" s="1"/>
  <c r="I133" i="10"/>
  <c r="I132" i="10"/>
  <c r="E129" i="10"/>
  <c r="E121" i="10"/>
  <c r="I131" i="10"/>
  <c r="I123" i="10"/>
  <c r="I114" i="10"/>
  <c r="E115" i="10"/>
  <c r="I126" i="10"/>
  <c r="I125" i="10"/>
  <c r="I124" i="10"/>
  <c r="E128" i="10"/>
  <c r="E120" i="10"/>
  <c r="I130" i="10"/>
  <c r="I122" i="10"/>
  <c r="I113" i="10"/>
  <c r="I128" i="10"/>
  <c r="I127" i="10"/>
  <c r="I117" i="10"/>
  <c r="E122" i="10"/>
  <c r="I115" i="10"/>
  <c r="I112" i="10"/>
  <c r="E127" i="10"/>
  <c r="E119" i="10"/>
  <c r="I129" i="10"/>
  <c r="I121" i="10"/>
  <c r="E113" i="10"/>
  <c r="U165" i="10"/>
  <c r="M166" i="10"/>
  <c r="S166" i="10"/>
  <c r="R164" i="10"/>
  <c r="Q167" i="10"/>
  <c r="T170" i="10"/>
  <c r="M171" i="10"/>
  <c r="R166" i="10"/>
  <c r="T165" i="10"/>
  <c r="Q166" i="10"/>
  <c r="M170" i="10"/>
  <c r="T166" i="10"/>
  <c r="U166" i="10"/>
  <c r="U170" i="10"/>
  <c r="U164" i="10"/>
  <c r="S163" i="10"/>
  <c r="N170" i="10"/>
  <c r="O168" i="10"/>
  <c r="N171" i="10"/>
  <c r="M167" i="10"/>
  <c r="N163" i="10"/>
  <c r="N164" i="10"/>
  <c r="N165" i="10"/>
  <c r="U169" i="10"/>
  <c r="T163" i="10"/>
  <c r="U167" i="10"/>
  <c r="O170" i="10"/>
  <c r="N167" i="10"/>
  <c r="R167" i="10"/>
  <c r="S165" i="10"/>
  <c r="T168" i="10"/>
  <c r="P164" i="10"/>
  <c r="Q164" i="10"/>
  <c r="S164" i="10"/>
  <c r="M164" i="10"/>
  <c r="Q163" i="10"/>
  <c r="P165" i="10"/>
  <c r="S167" i="10"/>
  <c r="T167" i="10"/>
  <c r="P166" i="10"/>
  <c r="T169" i="10"/>
  <c r="S169" i="10"/>
  <c r="U168" i="10"/>
  <c r="R163" i="10"/>
  <c r="S171" i="10"/>
  <c r="M165" i="10"/>
  <c r="Q169" i="10"/>
  <c r="S168" i="10"/>
  <c r="C262" i="10"/>
  <c r="O165" i="10"/>
  <c r="Q168" i="10"/>
  <c r="P168" i="10"/>
  <c r="T171" i="10"/>
  <c r="M169" i="10"/>
  <c r="R170" i="10"/>
  <c r="R171" i="10"/>
  <c r="R168" i="10"/>
  <c r="P170" i="10"/>
  <c r="R169" i="10"/>
  <c r="U163" i="10"/>
  <c r="P167" i="10"/>
  <c r="O167" i="10"/>
  <c r="M168" i="10"/>
  <c r="U171" i="10"/>
  <c r="S170" i="10"/>
  <c r="Q165" i="10"/>
  <c r="O169" i="10"/>
  <c r="N169" i="10"/>
  <c r="O171" i="10"/>
  <c r="P163" i="10"/>
  <c r="Q170" i="10"/>
  <c r="H216" i="10"/>
  <c r="H217" i="10" s="1"/>
  <c r="O166" i="10"/>
  <c r="T164" i="10"/>
  <c r="Q171" i="10"/>
  <c r="N166" i="10"/>
  <c r="P169" i="10"/>
  <c r="M163" i="10"/>
  <c r="N168" i="10"/>
  <c r="R165" i="10"/>
  <c r="O163" i="10"/>
  <c r="O164" i="10"/>
  <c r="H222" i="10"/>
  <c r="H223" i="10" s="1"/>
  <c r="J222" i="10"/>
  <c r="J223" i="10" s="1"/>
  <c r="G222" i="10"/>
  <c r="G223" i="10" s="1"/>
  <c r="J218" i="10"/>
  <c r="J219" i="10" s="1"/>
  <c r="D269" i="10"/>
  <c r="E269" i="10" s="1"/>
  <c r="H269" i="10" s="1"/>
  <c r="K216" i="10"/>
  <c r="K217" i="10" s="1"/>
  <c r="G216" i="10"/>
  <c r="G217" i="10" s="1"/>
  <c r="A140" i="8"/>
  <c r="B139" i="8"/>
  <c r="K222" i="10"/>
  <c r="K223" i="10" s="1"/>
  <c r="E262" i="10"/>
  <c r="J220" i="10"/>
  <c r="J221" i="10" s="1"/>
  <c r="E234" i="10"/>
  <c r="K220" i="10"/>
  <c r="K221" i="10" s="1"/>
  <c r="D262" i="10"/>
  <c r="K218" i="10"/>
  <c r="K219" i="10" s="1"/>
  <c r="I222" i="10"/>
  <c r="I223" i="10" s="1"/>
  <c r="I216" i="10"/>
  <c r="I217" i="10" s="1"/>
  <c r="I218" i="10"/>
  <c r="I219" i="10" s="1"/>
  <c r="G259" i="10"/>
  <c r="L259" i="10" s="1"/>
  <c r="I220" i="10"/>
  <c r="I221" i="10" s="1"/>
  <c r="G260" i="10"/>
  <c r="H220" i="10"/>
  <c r="H221" i="10" s="1"/>
  <c r="G258" i="10"/>
  <c r="J216" i="10"/>
  <c r="J217" i="10" s="1"/>
  <c r="H218" i="10"/>
  <c r="H219" i="10" s="1"/>
  <c r="K260" i="10" l="1"/>
  <c r="I246" i="10" a="1"/>
  <c r="D235" i="10"/>
  <c r="D238" i="10"/>
  <c r="E238" i="10" s="1"/>
  <c r="J258" i="10"/>
  <c r="I174" i="10" a="1"/>
  <c r="I182" i="10" s="1"/>
  <c r="J174" i="10" a="1"/>
  <c r="J180" i="10" s="1"/>
  <c r="H174" i="10" a="1"/>
  <c r="H174" i="10" s="1"/>
  <c r="K174" i="10" a="1"/>
  <c r="K175" i="10" s="1"/>
  <c r="D267" i="10"/>
  <c r="E267" i="10" s="1"/>
  <c r="H267" i="10" s="1"/>
  <c r="H265" i="10"/>
  <c r="L260" i="10"/>
  <c r="C235" i="10"/>
  <c r="D240" i="10" s="1"/>
  <c r="E240" i="10" s="1"/>
  <c r="B140" i="8"/>
  <c r="A141" i="8"/>
  <c r="J259" i="10"/>
  <c r="D266" i="10"/>
  <c r="E266" i="10" s="1"/>
  <c r="K258" i="10"/>
  <c r="L258" i="10"/>
  <c r="K259" i="10"/>
  <c r="D243" i="10"/>
  <c r="F233" i="10"/>
  <c r="J260" i="10"/>
  <c r="F232" i="10"/>
  <c r="J232" i="10" s="1"/>
  <c r="I179" i="10" l="1"/>
  <c r="I177" i="10"/>
  <c r="J176" i="10"/>
  <c r="J178" i="10"/>
  <c r="I178" i="10"/>
  <c r="I174" i="10"/>
  <c r="H178" i="10"/>
  <c r="I175" i="10"/>
  <c r="H182" i="10"/>
  <c r="I176" i="10"/>
  <c r="I180" i="10"/>
  <c r="J174" i="10"/>
  <c r="I181" i="10"/>
  <c r="J175" i="10"/>
  <c r="I253" i="10"/>
  <c r="I246" i="10"/>
  <c r="I254" i="10"/>
  <c r="I247" i="10"/>
  <c r="I248" i="10"/>
  <c r="I249" i="10"/>
  <c r="I250" i="10"/>
  <c r="I251" i="10"/>
  <c r="I252" i="10"/>
  <c r="J181" i="10"/>
  <c r="H175" i="10"/>
  <c r="J179" i="10"/>
  <c r="J182" i="10"/>
  <c r="J177" i="10"/>
  <c r="H180" i="10"/>
  <c r="H177" i="10"/>
  <c r="K181" i="10"/>
  <c r="K178" i="10"/>
  <c r="H179" i="10"/>
  <c r="K176" i="10"/>
  <c r="H176" i="10"/>
  <c r="H181" i="10"/>
  <c r="K177" i="10"/>
  <c r="K179" i="10"/>
  <c r="K180" i="10"/>
  <c r="K182" i="10"/>
  <c r="K174" i="10"/>
  <c r="I233" i="10"/>
  <c r="J233" i="10"/>
  <c r="D268" i="10"/>
  <c r="E268" i="10" s="1"/>
  <c r="H268" i="10" s="1"/>
  <c r="B141" i="8"/>
  <c r="A142" i="8"/>
  <c r="D239" i="10"/>
  <c r="E239" i="10" s="1"/>
  <c r="H266" i="10"/>
  <c r="D242" i="10"/>
  <c r="E242" i="10" s="1"/>
  <c r="F240" i="10" s="1"/>
  <c r="G240" i="10" s="1"/>
  <c r="I232" i="10"/>
  <c r="D241" i="10" l="1"/>
  <c r="E241" i="10" s="1"/>
  <c r="F241" i="10" s="1"/>
  <c r="G241" i="10" s="1"/>
  <c r="F238" i="10"/>
  <c r="G238" i="10" s="1"/>
  <c r="H238" i="10"/>
  <c r="B142" i="8"/>
  <c r="A143" i="8"/>
  <c r="H239" i="10"/>
  <c r="F239" i="10"/>
  <c r="G239" i="10" s="1"/>
  <c r="H242" i="10"/>
  <c r="H241" i="10" l="1"/>
  <c r="A144" i="8"/>
  <c r="B143" i="8"/>
  <c r="B144" i="8" l="1"/>
  <c r="A145" i="8"/>
  <c r="D116" i="10"/>
  <c r="G116" i="10"/>
  <c r="F116" i="10"/>
  <c r="C116" i="10"/>
  <c r="H116" i="10"/>
  <c r="B116" i="10"/>
  <c r="I116" i="10" l="1"/>
  <c r="E116" i="10"/>
  <c r="B145" i="8"/>
  <c r="A146" i="8"/>
  <c r="A147" i="8" l="1"/>
  <c r="B146" i="8"/>
  <c r="A148" i="8" l="1"/>
  <c r="B147" i="8"/>
  <c r="B148" i="8" l="1"/>
  <c r="A149" i="8"/>
  <c r="B149" i="8" l="1"/>
  <c r="A150" i="8"/>
  <c r="B150" i="8" l="1"/>
  <c r="A151" i="8"/>
  <c r="B151" i="8" l="1"/>
  <c r="A152" i="8"/>
  <c r="A153" i="8" l="1"/>
  <c r="B152" i="8"/>
  <c r="A154" i="8" l="1"/>
  <c r="B153" i="8"/>
  <c r="A155" i="8" l="1"/>
  <c r="B154" i="8"/>
  <c r="A156" i="8" l="1"/>
  <c r="B155" i="8"/>
  <c r="B156" i="8" l="1"/>
  <c r="A157" i="8"/>
  <c r="B157" i="8" l="1"/>
  <c r="A158" i="8"/>
  <c r="B158" i="8" l="1"/>
  <c r="A159" i="8"/>
  <c r="H111" i="9"/>
  <c r="H110" i="9"/>
  <c r="H109" i="9"/>
  <c r="H108" i="9"/>
  <c r="H107" i="9"/>
  <c r="H106" i="9"/>
  <c r="H105" i="9"/>
  <c r="H104" i="9"/>
  <c r="H103" i="9"/>
  <c r="H102" i="9"/>
  <c r="E102" i="9"/>
  <c r="H101" i="9"/>
  <c r="E101" i="9"/>
  <c r="J100" i="9"/>
  <c r="H100" i="9"/>
  <c r="J99" i="9"/>
  <c r="H99" i="9"/>
  <c r="B75" i="9"/>
  <c r="B76" i="9" s="1"/>
  <c r="B77" i="9" s="1"/>
  <c r="B78" i="9" s="1"/>
  <c r="B79" i="9" s="1"/>
  <c r="B80" i="9" s="1"/>
  <c r="B81" i="9" s="1"/>
  <c r="G64" i="9"/>
  <c r="I70" i="9" s="1"/>
  <c r="G63" i="9"/>
  <c r="H70" i="9" s="1"/>
  <c r="G62" i="9"/>
  <c r="G70" i="9" s="1"/>
  <c r="G61" i="9"/>
  <c r="F70" i="9" s="1"/>
  <c r="G60" i="9"/>
  <c r="E70" i="9" s="1"/>
  <c r="G59" i="9"/>
  <c r="C70" i="9"/>
  <c r="G31" i="9"/>
  <c r="G30" i="9"/>
  <c r="G29" i="9"/>
  <c r="E24" i="9"/>
  <c r="E23" i="9"/>
  <c r="E22" i="9"/>
  <c r="G35" i="9" l="1"/>
  <c r="G65" i="9"/>
  <c r="G66" i="9" s="1"/>
  <c r="D70" i="9"/>
  <c r="D78" i="9" s="1"/>
  <c r="A160" i="8"/>
  <c r="B159" i="8"/>
  <c r="E78" i="9"/>
  <c r="E81" i="9"/>
  <c r="E77" i="9"/>
  <c r="E80" i="9"/>
  <c r="F81" i="9"/>
  <c r="F80" i="9"/>
  <c r="F79" i="9"/>
  <c r="G81" i="9"/>
  <c r="C81" i="9"/>
  <c r="E79" i="9"/>
  <c r="B82" i="9"/>
  <c r="E82" i="9" s="1"/>
  <c r="E26" i="9"/>
  <c r="C26" i="9" s="1"/>
  <c r="C76" i="9"/>
  <c r="C77" i="9"/>
  <c r="C75" i="9"/>
  <c r="C78" i="9"/>
  <c r="C79" i="9"/>
  <c r="D77" i="9"/>
  <c r="C80" i="9"/>
  <c r="D76" i="9" l="1"/>
  <c r="D81" i="9"/>
  <c r="J81" i="9" s="1"/>
  <c r="D79" i="9"/>
  <c r="D80" i="9"/>
  <c r="F82" i="9"/>
  <c r="J76" i="9"/>
  <c r="G82" i="9"/>
  <c r="B160" i="8"/>
  <c r="A161" i="8"/>
  <c r="J77" i="9"/>
  <c r="J78" i="9"/>
  <c r="J80" i="9"/>
  <c r="J79" i="9"/>
  <c r="J75" i="9"/>
  <c r="B83" i="9"/>
  <c r="D82" i="9"/>
  <c r="B161" i="8" l="1"/>
  <c r="A162" i="8"/>
  <c r="J82" i="9"/>
  <c r="B84" i="9"/>
  <c r="F83" i="9"/>
  <c r="G83" i="9"/>
  <c r="D83" i="9"/>
  <c r="E83" i="9"/>
  <c r="B162" i="8" l="1"/>
  <c r="A163" i="8"/>
  <c r="J83" i="9"/>
  <c r="B85" i="9"/>
  <c r="H84" i="9"/>
  <c r="E84" i="9"/>
  <c r="F84" i="9"/>
  <c r="D84" i="9"/>
  <c r="G84" i="9"/>
  <c r="B163" i="8" l="1"/>
  <c r="A164" i="8"/>
  <c r="B86" i="9"/>
  <c r="G85" i="9"/>
  <c r="E85" i="9"/>
  <c r="F85" i="9"/>
  <c r="H85" i="9"/>
  <c r="J84" i="9"/>
  <c r="A165" i="8" l="1"/>
  <c r="B165" i="8" s="1"/>
  <c r="B164" i="8"/>
  <c r="J85" i="9"/>
  <c r="B87" i="9"/>
  <c r="F86" i="9"/>
  <c r="H86" i="9"/>
  <c r="G86" i="9"/>
  <c r="E86" i="9"/>
  <c r="J86" i="9" l="1"/>
  <c r="B88" i="9"/>
  <c r="H87" i="9"/>
  <c r="I87" i="9"/>
  <c r="F87" i="9"/>
  <c r="G87" i="9"/>
  <c r="E87" i="9"/>
  <c r="J87" i="9" l="1"/>
  <c r="B89" i="9"/>
  <c r="F88" i="9"/>
  <c r="H88" i="9"/>
  <c r="I88" i="9"/>
  <c r="G88" i="9"/>
  <c r="J88" i="9" l="1"/>
  <c r="B90" i="9"/>
  <c r="G89" i="9"/>
  <c r="I89" i="9"/>
  <c r="F89" i="9"/>
  <c r="H89" i="9"/>
  <c r="J89" i="9" l="1"/>
  <c r="B91" i="9"/>
  <c r="H90" i="9"/>
  <c r="G90" i="9"/>
  <c r="I90" i="9"/>
  <c r="J90" i="9" l="1"/>
  <c r="B92" i="9"/>
  <c r="I91" i="9"/>
  <c r="H91" i="9"/>
  <c r="G91" i="9"/>
  <c r="J91" i="9" l="1"/>
  <c r="B93" i="9"/>
  <c r="H92" i="9"/>
  <c r="I92" i="9"/>
  <c r="B94" i="9" l="1"/>
  <c r="I93" i="9"/>
  <c r="J92" i="9"/>
  <c r="J93" i="9" l="1"/>
  <c r="C355" i="8" l="1"/>
  <c r="E307" i="8"/>
  <c r="E303" i="8"/>
  <c r="E302" i="8"/>
  <c r="E301" i="8"/>
  <c r="E300" i="8"/>
  <c r="E299" i="8"/>
  <c r="E298" i="8"/>
  <c r="E297" i="8"/>
  <c r="E296" i="8"/>
  <c r="E295" i="8"/>
  <c r="E294" i="8"/>
  <c r="E293" i="8"/>
  <c r="E292" i="8"/>
  <c r="E291" i="8"/>
  <c r="E290" i="8"/>
  <c r="E289" i="8"/>
  <c r="E288" i="8"/>
  <c r="E287" i="8"/>
  <c r="E286" i="8"/>
  <c r="E285" i="8"/>
  <c r="E284" i="8"/>
  <c r="B183" i="8"/>
  <c r="B184" i="8" s="1"/>
  <c r="B185" i="8" s="1"/>
  <c r="B186" i="8" s="1"/>
  <c r="A12" i="8"/>
  <c r="B12" i="8" s="1"/>
  <c r="B11" i="8"/>
  <c r="C2" i="8"/>
  <c r="C3" i="8" s="1"/>
  <c r="C360" i="8" l="1"/>
  <c r="C361" i="8" s="1"/>
  <c r="C362" i="8" s="1"/>
  <c r="C363" i="8" s="1"/>
  <c r="C364" i="8" s="1"/>
  <c r="C365" i="8" s="1"/>
  <c r="C366" i="8" s="1"/>
  <c r="C367" i="8" s="1"/>
  <c r="C368" i="8" s="1"/>
  <c r="C369" i="8" s="1"/>
  <c r="C370" i="8" s="1"/>
  <c r="C371" i="8" s="1"/>
  <c r="C372" i="8" s="1"/>
  <c r="C373" i="8" s="1"/>
  <c r="C374" i="8" s="1"/>
  <c r="C375" i="8" s="1"/>
  <c r="C376" i="8" s="1"/>
  <c r="C377" i="8" s="1"/>
  <c r="C378" i="8" s="1"/>
  <c r="C379" i="8" s="1"/>
  <c r="C182" i="8"/>
  <c r="A13" i="8"/>
  <c r="A14" i="8" s="1"/>
  <c r="E305" i="8"/>
  <c r="E308" i="8" s="1"/>
  <c r="E311" i="8" s="1"/>
  <c r="B187" i="8"/>
  <c r="C186" i="8"/>
  <c r="C183" i="8"/>
  <c r="C185" i="8"/>
  <c r="C184" i="8"/>
  <c r="B13" i="8" l="1"/>
  <c r="A15" i="8"/>
  <c r="B14" i="8"/>
  <c r="B188" i="8"/>
  <c r="C187" i="8"/>
  <c r="B15" i="8" l="1"/>
  <c r="A16" i="8"/>
  <c r="B189" i="8"/>
  <c r="C188" i="8"/>
  <c r="B190" i="8" l="1"/>
  <c r="C189" i="8"/>
  <c r="A17" i="8"/>
  <c r="B16" i="8"/>
  <c r="A18" i="8" l="1"/>
  <c r="B17" i="8"/>
  <c r="B191" i="8"/>
  <c r="C190" i="8"/>
  <c r="B192" i="8" l="1"/>
  <c r="C191" i="8"/>
  <c r="A19" i="8"/>
  <c r="B18" i="8"/>
  <c r="B193" i="8" l="1"/>
  <c r="C192" i="8"/>
  <c r="B19" i="8"/>
  <c r="A20" i="8"/>
  <c r="C9" i="8" l="1"/>
  <c r="C10" i="8" s="1"/>
  <c r="B194" i="8"/>
  <c r="C193" i="8"/>
  <c r="A21" i="8"/>
  <c r="B20" i="8"/>
  <c r="B21" i="8" l="1"/>
  <c r="A22" i="8"/>
  <c r="B195" i="8"/>
  <c r="C194" i="8"/>
  <c r="B196" i="8" l="1"/>
  <c r="C195" i="8"/>
  <c r="A23" i="8"/>
  <c r="B22" i="8"/>
  <c r="B23" i="8" l="1"/>
  <c r="A24" i="8"/>
  <c r="B197" i="8"/>
  <c r="C196" i="8"/>
  <c r="B198" i="8" l="1"/>
  <c r="C197" i="8"/>
  <c r="A25" i="8"/>
  <c r="B24" i="8"/>
  <c r="A26" i="8" l="1"/>
  <c r="B25" i="8"/>
  <c r="B199" i="8"/>
  <c r="C198" i="8"/>
  <c r="B200" i="8" l="1"/>
  <c r="C199" i="8"/>
  <c r="A27" i="8"/>
  <c r="B26" i="8"/>
  <c r="B27" i="8" l="1"/>
  <c r="A28" i="8"/>
  <c r="B201" i="8"/>
  <c r="C200" i="8"/>
  <c r="A29" i="8" l="1"/>
  <c r="B28" i="8"/>
  <c r="B202" i="8"/>
  <c r="C201" i="8"/>
  <c r="C202" i="8" l="1"/>
  <c r="B203" i="8"/>
  <c r="A30" i="8"/>
  <c r="B29" i="8"/>
  <c r="D9" i="8" s="1"/>
  <c r="D10" i="8" s="1"/>
  <c r="B30" i="8" l="1"/>
  <c r="A31" i="8"/>
  <c r="B204" i="8"/>
  <c r="C203" i="8"/>
  <c r="B205" i="8" l="1"/>
  <c r="C204" i="8"/>
  <c r="B31" i="8"/>
  <c r="A32" i="8"/>
  <c r="A33" i="8" l="1"/>
  <c r="B32" i="8"/>
  <c r="B206" i="8"/>
  <c r="C205" i="8"/>
  <c r="B207" i="8" l="1"/>
  <c r="C206" i="8"/>
  <c r="A34" i="8"/>
  <c r="B33" i="8"/>
  <c r="A35" i="8" l="1"/>
  <c r="B34" i="8"/>
  <c r="B208" i="8"/>
  <c r="C207" i="8"/>
  <c r="B209" i="8" l="1"/>
  <c r="C208" i="8"/>
  <c r="B35" i="8"/>
  <c r="A36" i="8"/>
  <c r="A37" i="8" l="1"/>
  <c r="B36" i="8"/>
  <c r="B210" i="8"/>
  <c r="C209" i="8"/>
  <c r="B211" i="8" l="1"/>
  <c r="C210" i="8"/>
  <c r="A38" i="8"/>
  <c r="B37" i="8"/>
  <c r="A39" i="8" l="1"/>
  <c r="B38" i="8"/>
  <c r="B212" i="8"/>
  <c r="C211" i="8"/>
  <c r="B39" i="8" l="1"/>
  <c r="A40" i="8"/>
  <c r="B213" i="8"/>
  <c r="C212" i="8"/>
  <c r="E10" i="8"/>
  <c r="B40" i="8" l="1"/>
  <c r="A41" i="8"/>
  <c r="B214" i="8"/>
  <c r="C213" i="8"/>
  <c r="B41" i="8" l="1"/>
  <c r="A42" i="8"/>
  <c r="B215" i="8"/>
  <c r="C214" i="8"/>
  <c r="B42" i="8" l="1"/>
  <c r="A43" i="8"/>
  <c r="B216" i="8"/>
  <c r="C215" i="8"/>
  <c r="A44" i="8" l="1"/>
  <c r="B43" i="8"/>
  <c r="B217" i="8"/>
  <c r="C216" i="8"/>
  <c r="B44" i="8" l="1"/>
  <c r="A45" i="8"/>
  <c r="B218" i="8"/>
  <c r="C217" i="8"/>
  <c r="B45" i="8" l="1"/>
  <c r="A46" i="8"/>
  <c r="B219" i="8"/>
  <c r="C218" i="8"/>
  <c r="B46" i="8" l="1"/>
  <c r="A47" i="8"/>
  <c r="B220" i="8"/>
  <c r="C219" i="8"/>
  <c r="A48" i="8" l="1"/>
  <c r="B47" i="8"/>
  <c r="B221" i="8"/>
  <c r="C220" i="8"/>
  <c r="B48" i="8" l="1"/>
  <c r="A49" i="8"/>
  <c r="B222" i="8"/>
  <c r="C221" i="8"/>
  <c r="B49" i="8" l="1"/>
  <c r="A50" i="8"/>
  <c r="B223" i="8"/>
  <c r="C222" i="8"/>
  <c r="B50" i="8" l="1"/>
  <c r="A51" i="8"/>
  <c r="B224" i="8"/>
  <c r="C223" i="8"/>
  <c r="A52" i="8" l="1"/>
  <c r="B51" i="8"/>
  <c r="B225" i="8"/>
  <c r="C224" i="8"/>
  <c r="B52" i="8" l="1"/>
  <c r="A53" i="8"/>
  <c r="B226" i="8"/>
  <c r="C225" i="8"/>
  <c r="B53" i="8" l="1"/>
  <c r="A54" i="8"/>
  <c r="B227" i="8"/>
  <c r="C226" i="8"/>
  <c r="B54" i="8" l="1"/>
  <c r="A55" i="8"/>
  <c r="B228" i="8"/>
  <c r="C227" i="8"/>
  <c r="A56" i="8" l="1"/>
  <c r="B55" i="8"/>
  <c r="B229" i="8"/>
  <c r="C228" i="8"/>
  <c r="B56" i="8" l="1"/>
  <c r="A57" i="8"/>
  <c r="B230" i="8"/>
  <c r="C229" i="8"/>
  <c r="B57" i="8" l="1"/>
  <c r="A58" i="8"/>
  <c r="B231" i="8"/>
  <c r="C230" i="8"/>
  <c r="B58" i="8" l="1"/>
  <c r="A59" i="8"/>
  <c r="B59" i="8" s="1"/>
  <c r="B232" i="8"/>
  <c r="C231" i="8"/>
  <c r="B233" i="8" l="1"/>
  <c r="C232" i="8"/>
  <c r="B234" i="8" l="1"/>
  <c r="C233" i="8"/>
  <c r="B235" i="8" l="1"/>
  <c r="C234" i="8"/>
  <c r="B236" i="8" l="1"/>
  <c r="C235" i="8"/>
  <c r="B237" i="8" l="1"/>
  <c r="C236" i="8"/>
  <c r="B238" i="8" l="1"/>
  <c r="C237" i="8"/>
  <c r="B239" i="8" l="1"/>
  <c r="C238" i="8"/>
  <c r="B240" i="8" l="1"/>
  <c r="C239" i="8"/>
  <c r="B241" i="8" l="1"/>
  <c r="C240" i="8"/>
  <c r="B242" i="8" l="1"/>
  <c r="C241" i="8"/>
  <c r="B243" i="8" l="1"/>
  <c r="C242" i="8"/>
  <c r="B244" i="8" l="1"/>
  <c r="C243" i="8"/>
  <c r="B245" i="8" l="1"/>
  <c r="C244" i="8"/>
  <c r="B246" i="8" l="1"/>
  <c r="C245" i="8"/>
  <c r="B247" i="8" l="1"/>
  <c r="C246" i="8"/>
  <c r="B248" i="8" l="1"/>
  <c r="C247" i="8"/>
  <c r="B249" i="8" l="1"/>
  <c r="C248" i="8"/>
  <c r="B250" i="8" l="1"/>
  <c r="C249" i="8"/>
  <c r="B251" i="8" l="1"/>
  <c r="C250" i="8"/>
  <c r="B252" i="8" l="1"/>
  <c r="C251" i="8"/>
  <c r="B253" i="8" l="1"/>
  <c r="C252" i="8"/>
  <c r="B254" i="8" l="1"/>
  <c r="C253" i="8"/>
  <c r="B255" i="8" l="1"/>
  <c r="C254" i="8"/>
  <c r="B256" i="8" l="1"/>
  <c r="C255" i="8"/>
  <c r="B257" i="8" l="1"/>
  <c r="C256" i="8"/>
  <c r="B258" i="8" l="1"/>
  <c r="C257" i="8"/>
  <c r="B259" i="8" l="1"/>
  <c r="C258" i="8"/>
  <c r="B260" i="8" l="1"/>
  <c r="C259" i="8"/>
  <c r="B261" i="8" l="1"/>
  <c r="C260" i="8"/>
  <c r="B262" i="8" l="1"/>
  <c r="C261" i="8"/>
  <c r="C262" i="8" l="1"/>
  <c r="B263" i="8"/>
  <c r="B264" i="8" l="1"/>
  <c r="C263" i="8"/>
  <c r="B265" i="8" l="1"/>
  <c r="C264" i="8"/>
  <c r="B266" i="8" l="1"/>
  <c r="C265" i="8"/>
  <c r="B267" i="8" l="1"/>
  <c r="C266" i="8"/>
  <c r="B268" i="8" l="1"/>
  <c r="C267" i="8"/>
  <c r="B269" i="8" l="1"/>
  <c r="C268" i="8"/>
  <c r="B270" i="8" l="1"/>
  <c r="C269" i="8"/>
  <c r="B271" i="8" l="1"/>
  <c r="C270" i="8"/>
  <c r="C271" i="8" l="1"/>
  <c r="B272" i="8"/>
  <c r="B273" i="8" l="1"/>
  <c r="C272" i="8"/>
  <c r="B274" i="8" l="1"/>
  <c r="C273" i="8"/>
  <c r="B275" i="8" l="1"/>
  <c r="C274" i="8"/>
  <c r="B276" i="8" l="1"/>
  <c r="C275" i="8"/>
  <c r="B277" i="8" l="1"/>
  <c r="C276" i="8"/>
  <c r="B278" i="8" l="1"/>
  <c r="C277" i="8"/>
  <c r="B279" i="8" l="1"/>
  <c r="C278" i="8"/>
  <c r="B280" i="8" l="1"/>
  <c r="C279" i="8"/>
  <c r="B281" i="8" l="1"/>
  <c r="C281" i="8" s="1"/>
  <c r="C280" i="8"/>
  <c r="C180" i="8" l="1"/>
  <c r="F82" i="7"/>
  <c r="F81" i="7"/>
  <c r="F80" i="7"/>
  <c r="F79" i="7"/>
  <c r="E74" i="7"/>
  <c r="E73" i="7"/>
  <c r="E72" i="7"/>
  <c r="E71" i="7"/>
  <c r="E70" i="7"/>
  <c r="E69" i="7"/>
  <c r="E68" i="7"/>
  <c r="E67" i="7"/>
  <c r="E66" i="7"/>
  <c r="E65" i="7"/>
  <c r="E64" i="7"/>
  <c r="E62" i="7"/>
  <c r="E59" i="7"/>
  <c r="G59" i="7" s="1"/>
  <c r="G55" i="7"/>
  <c r="D55" i="7"/>
  <c r="H55" i="7" s="1"/>
  <c r="C55" i="7"/>
  <c r="F54" i="7"/>
  <c r="D54" i="7"/>
  <c r="C54" i="7"/>
  <c r="C46" i="7"/>
  <c r="C47" i="7" s="1"/>
  <c r="C48" i="7" s="1"/>
  <c r="C49" i="7" s="1"/>
  <c r="F45" i="7"/>
  <c r="E45" i="7"/>
  <c r="E44" i="7"/>
  <c r="G44" i="7" s="1"/>
  <c r="F31" i="7"/>
  <c r="I32" i="7" s="1"/>
  <c r="E31" i="7"/>
  <c r="C31" i="7"/>
  <c r="D31" i="7" s="1"/>
  <c r="J31" i="7" s="1"/>
  <c r="D23" i="7"/>
  <c r="D22" i="7"/>
  <c r="D21" i="7"/>
  <c r="D20" i="7"/>
  <c r="C12" i="7"/>
  <c r="D11" i="7"/>
  <c r="D10" i="7"/>
  <c r="D9" i="7"/>
  <c r="D8" i="7"/>
  <c r="D7" i="7"/>
  <c r="D6" i="7"/>
  <c r="D5" i="7"/>
  <c r="D4" i="7"/>
  <c r="D3" i="7"/>
  <c r="D2" i="7"/>
  <c r="G32" i="7" l="1"/>
  <c r="H32" i="7"/>
  <c r="E12" i="7"/>
  <c r="C14" i="7"/>
  <c r="C16" i="7" s="1"/>
  <c r="C17" i="7" s="1"/>
  <c r="J55" i="7"/>
  <c r="H59" i="7"/>
  <c r="E75" i="7"/>
  <c r="C50" i="7"/>
  <c r="C51" i="7" s="1"/>
  <c r="G45" i="7"/>
  <c r="F46" i="7"/>
  <c r="D12" i="7"/>
  <c r="E14" i="7" s="1"/>
  <c r="D24" i="7"/>
  <c r="D25" i="7" s="1"/>
  <c r="H45" i="7"/>
  <c r="I31" i="7"/>
  <c r="H31" i="7"/>
  <c r="K31" i="7"/>
  <c r="G31" i="7"/>
  <c r="H54" i="7"/>
  <c r="I55" i="7"/>
  <c r="K55" i="7" s="1"/>
  <c r="G54" i="7"/>
  <c r="I54" i="7" s="1"/>
  <c r="F59" i="7"/>
  <c r="I59" i="7" s="1"/>
  <c r="J32" i="7" l="1"/>
  <c r="F47" i="7"/>
  <c r="E46" i="7"/>
  <c r="G46" i="7" s="1"/>
  <c r="H46" i="7" s="1"/>
  <c r="J59" i="7"/>
  <c r="K59" i="7" s="1"/>
  <c r="L59" i="7" s="1"/>
  <c r="M59" i="7" s="1"/>
  <c r="J54" i="7"/>
  <c r="K54" i="7" s="1"/>
  <c r="L54" i="7" s="1"/>
  <c r="E47" i="7" l="1"/>
  <c r="F48" i="7"/>
  <c r="G47" i="7"/>
  <c r="H47" i="7" s="1"/>
  <c r="E48" i="7" l="1"/>
  <c r="G48" i="7" s="1"/>
  <c r="H48" i="7" s="1"/>
  <c r="F49" i="7"/>
  <c r="H155" i="6"/>
  <c r="E155" i="6"/>
  <c r="D155" i="6"/>
  <c r="G155" i="6" s="1"/>
  <c r="E154" i="6"/>
  <c r="D154" i="6"/>
  <c r="G154" i="6" s="1"/>
  <c r="I145" i="6"/>
  <c r="N145" i="6" s="1"/>
  <c r="F145" i="6"/>
  <c r="E145" i="6"/>
  <c r="D145" i="6"/>
  <c r="O137" i="6"/>
  <c r="C137" i="6"/>
  <c r="O136" i="6"/>
  <c r="C136" i="6"/>
  <c r="O135" i="6"/>
  <c r="C135" i="6"/>
  <c r="O134" i="6"/>
  <c r="C134" i="6"/>
  <c r="O133" i="6"/>
  <c r="C133" i="6"/>
  <c r="F131" i="6"/>
  <c r="E131" i="6"/>
  <c r="D131" i="6"/>
  <c r="F130" i="6"/>
  <c r="E130" i="6"/>
  <c r="D130" i="6"/>
  <c r="F129" i="6"/>
  <c r="E129" i="6"/>
  <c r="D129" i="6"/>
  <c r="F128" i="6"/>
  <c r="E128" i="6"/>
  <c r="D128" i="6"/>
  <c r="F127" i="6"/>
  <c r="E127" i="6"/>
  <c r="D127" i="6"/>
  <c r="B111" i="6"/>
  <c r="D111" i="6" s="1"/>
  <c r="G111" i="6" s="1"/>
  <c r="C89" i="6"/>
  <c r="C90" i="6" s="1"/>
  <c r="C91" i="6" s="1"/>
  <c r="C92" i="6" s="1"/>
  <c r="C93" i="6" s="1"/>
  <c r="C94" i="6" s="1"/>
  <c r="C95" i="6" s="1"/>
  <c r="C96" i="6" s="1"/>
  <c r="C97" i="6" s="1"/>
  <c r="C98" i="6" s="1"/>
  <c r="C99" i="6" s="1"/>
  <c r="C100" i="6" s="1"/>
  <c r="C101" i="6" s="1"/>
  <c r="C102" i="6" s="1"/>
  <c r="C103" i="6" s="1"/>
  <c r="C104" i="6" s="1"/>
  <c r="C105" i="6" s="1"/>
  <c r="C106" i="6" s="1"/>
  <c r="C107" i="6" s="1"/>
  <c r="C108" i="6" s="1"/>
  <c r="L79" i="6"/>
  <c r="L80" i="6" s="1"/>
  <c r="L81" i="6" s="1"/>
  <c r="L82" i="6" s="1"/>
  <c r="L83" i="6" s="1"/>
  <c r="L84" i="6" s="1"/>
  <c r="L85" i="6" s="1"/>
  <c r="L86" i="6" s="1"/>
  <c r="I72" i="6"/>
  <c r="H72" i="6"/>
  <c r="G72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J56" i="6"/>
  <c r="J57" i="6" s="1"/>
  <c r="J58" i="6" s="1"/>
  <c r="J59" i="6" s="1"/>
  <c r="J60" i="6" s="1"/>
  <c r="J61" i="6" s="1"/>
  <c r="J62" i="6" s="1"/>
  <c r="J63" i="6" s="1"/>
  <c r="J64" i="6" s="1"/>
  <c r="J65" i="6" s="1"/>
  <c r="J66" i="6" s="1"/>
  <c r="J67" i="6" s="1"/>
  <c r="J68" i="6" s="1"/>
  <c r="D56" i="6"/>
  <c r="C56" i="6"/>
  <c r="F50" i="6"/>
  <c r="C51" i="6" s="1"/>
  <c r="C53" i="6" s="1"/>
  <c r="D45" i="6"/>
  <c r="D44" i="6"/>
  <c r="D43" i="6"/>
  <c r="D42" i="6"/>
  <c r="D41" i="6"/>
  <c r="D40" i="6"/>
  <c r="D38" i="6"/>
  <c r="D37" i="6"/>
  <c r="D36" i="6"/>
  <c r="D35" i="6"/>
  <c r="D34" i="6"/>
  <c r="D33" i="6"/>
  <c r="D32" i="6"/>
  <c r="D31" i="6"/>
  <c r="D30" i="6"/>
  <c r="D29" i="6"/>
  <c r="D28" i="6"/>
  <c r="D27" i="6"/>
  <c r="E27" i="6" s="1"/>
  <c r="D26" i="6"/>
  <c r="D25" i="6"/>
  <c r="F23" i="6"/>
  <c r="E23" i="6"/>
  <c r="D23" i="6"/>
  <c r="E39" i="6" s="1"/>
  <c r="E20" i="6"/>
  <c r="C20" i="6"/>
  <c r="F12" i="6"/>
  <c r="E12" i="6"/>
  <c r="F11" i="6"/>
  <c r="E11" i="6"/>
  <c r="F10" i="6"/>
  <c r="E10" i="6"/>
  <c r="F9" i="6"/>
  <c r="E9" i="6"/>
  <c r="F8" i="6"/>
  <c r="E8" i="6"/>
  <c r="F7" i="6"/>
  <c r="E7" i="6"/>
  <c r="F6" i="6"/>
  <c r="E6" i="6"/>
  <c r="F5" i="6"/>
  <c r="E5" i="6"/>
  <c r="F4" i="6"/>
  <c r="E4" i="6"/>
  <c r="F3" i="6"/>
  <c r="E3" i="6"/>
  <c r="F2" i="6"/>
  <c r="E2" i="6"/>
  <c r="C156" i="6" l="1"/>
  <c r="E49" i="7"/>
  <c r="G49" i="7"/>
  <c r="H49" i="7" s="1"/>
  <c r="D149" i="6"/>
  <c r="E149" i="6"/>
  <c r="C149" i="6"/>
  <c r="C151" i="6"/>
  <c r="J145" i="6"/>
  <c r="E44" i="6"/>
  <c r="E35" i="6"/>
  <c r="E25" i="6"/>
  <c r="G50" i="6"/>
  <c r="H50" i="6" s="1"/>
  <c r="E31" i="6"/>
  <c r="D133" i="6" a="1"/>
  <c r="D137" i="6" s="1"/>
  <c r="E156" i="6"/>
  <c r="F20" i="6"/>
  <c r="G20" i="6"/>
  <c r="E40" i="6"/>
  <c r="G156" i="6"/>
  <c r="B51" i="6"/>
  <c r="F13" i="6"/>
  <c r="E43" i="6"/>
  <c r="E26" i="6"/>
  <c r="E15" i="6"/>
  <c r="E16" i="6" s="1"/>
  <c r="F14" i="6"/>
  <c r="F117" i="6"/>
  <c r="F113" i="6"/>
  <c r="G116" i="6"/>
  <c r="G112" i="6"/>
  <c r="G117" i="6"/>
  <c r="G118" i="6" s="1"/>
  <c r="F116" i="6"/>
  <c r="F112" i="6"/>
  <c r="G113" i="6"/>
  <c r="G115" i="6"/>
  <c r="G114" i="6"/>
  <c r="F115" i="6"/>
  <c r="F111" i="6"/>
  <c r="F114" i="6"/>
  <c r="D151" i="6"/>
  <c r="F155" i="6"/>
  <c r="D15" i="6"/>
  <c r="E28" i="6"/>
  <c r="E32" i="6"/>
  <c r="E36" i="6"/>
  <c r="E41" i="6"/>
  <c r="E45" i="6"/>
  <c r="J72" i="6"/>
  <c r="L145" i="6"/>
  <c r="K145" i="6"/>
  <c r="M145" i="6" s="1"/>
  <c r="C52" i="6"/>
  <c r="E29" i="6"/>
  <c r="E33" i="6"/>
  <c r="E37" i="6"/>
  <c r="E42" i="6"/>
  <c r="F154" i="6"/>
  <c r="D156" i="6"/>
  <c r="G157" i="6" s="1"/>
  <c r="C79" i="6"/>
  <c r="C80" i="6" s="1"/>
  <c r="C81" i="6" s="1"/>
  <c r="B81" i="6" s="1"/>
  <c r="E30" i="6"/>
  <c r="E34" i="6"/>
  <c r="E38" i="6"/>
  <c r="F156" i="6" l="1"/>
  <c r="C159" i="6"/>
  <c r="C161" i="6" s="1"/>
  <c r="F157" i="6"/>
  <c r="C158" i="6" s="1"/>
  <c r="E157" i="6"/>
  <c r="E151" i="6"/>
  <c r="F151" i="6" s="1"/>
  <c r="D133" i="6"/>
  <c r="E133" i="6" s="1" a="1"/>
  <c r="D134" i="6"/>
  <c r="D135" i="6"/>
  <c r="D136" i="6"/>
  <c r="D80" i="6"/>
  <c r="D79" i="6"/>
  <c r="B79" i="6"/>
  <c r="E79" i="6" s="1"/>
  <c r="B52" i="6"/>
  <c r="D52" i="6" s="1"/>
  <c r="B53" i="6"/>
  <c r="D53" i="6" s="1"/>
  <c r="E53" i="6" s="1"/>
  <c r="C82" i="6"/>
  <c r="D81" i="6"/>
  <c r="E81" i="6" s="1"/>
  <c r="D17" i="6"/>
  <c r="D16" i="6"/>
  <c r="D73" i="6"/>
  <c r="D74" i="6" s="1"/>
  <c r="C73" i="6"/>
  <c r="C74" i="6" s="1"/>
  <c r="B73" i="6"/>
  <c r="B74" i="6" s="1"/>
  <c r="K72" i="6"/>
  <c r="B80" i="6"/>
  <c r="C160" i="6" l="1"/>
  <c r="E80" i="6"/>
  <c r="E52" i="6"/>
  <c r="D82" i="6"/>
  <c r="C83" i="6"/>
  <c r="B82" i="6"/>
  <c r="B76" i="6"/>
  <c r="B75" i="6"/>
  <c r="C76" i="6"/>
  <c r="C75" i="6"/>
  <c r="D75" i="6"/>
  <c r="D76" i="6"/>
  <c r="E134" i="6"/>
  <c r="E133" i="6"/>
  <c r="E137" i="6"/>
  <c r="E136" i="6"/>
  <c r="E135" i="6"/>
  <c r="E82" i="6" l="1"/>
  <c r="E76" i="6"/>
  <c r="F76" i="6" s="1"/>
  <c r="E75" i="6"/>
  <c r="F75" i="6" s="1"/>
  <c r="F133" i="6" a="1"/>
  <c r="C84" i="6"/>
  <c r="B83" i="6"/>
  <c r="D83" i="6"/>
  <c r="E83" i="6" l="1"/>
  <c r="D84" i="6"/>
  <c r="C85" i="6"/>
  <c r="B84" i="6"/>
  <c r="E84" i="6" s="1"/>
  <c r="F134" i="6"/>
  <c r="F133" i="6"/>
  <c r="F136" i="6"/>
  <c r="F137" i="6"/>
  <c r="F135" i="6"/>
  <c r="G133" i="6" l="1" a="1"/>
  <c r="G136" i="6" s="1"/>
  <c r="C86" i="6"/>
  <c r="B85" i="6"/>
  <c r="D85" i="6"/>
  <c r="G133" i="6" l="1"/>
  <c r="G137" i="6"/>
  <c r="G134" i="6"/>
  <c r="G135" i="6"/>
  <c r="E85" i="6"/>
  <c r="B86" i="6"/>
  <c r="D86" i="6"/>
  <c r="H133" i="6" l="1" a="1"/>
  <c r="H135" i="6" s="1"/>
  <c r="E86" i="6"/>
  <c r="H134" i="6" l="1"/>
  <c r="H133" i="6"/>
  <c r="H137" i="6"/>
  <c r="H136" i="6"/>
  <c r="I133" i="6" a="1"/>
  <c r="I134" i="6" l="1"/>
  <c r="I133" i="6"/>
  <c r="I137" i="6"/>
  <c r="I135" i="6"/>
  <c r="I136" i="6"/>
  <c r="J133" i="6" l="1" a="1"/>
  <c r="J134" i="6" l="1"/>
  <c r="J133" i="6"/>
  <c r="J135" i="6"/>
  <c r="J137" i="6"/>
  <c r="J136" i="6"/>
  <c r="K133" i="6" l="1" a="1"/>
  <c r="K137" i="6" l="1"/>
  <c r="K133" i="6"/>
  <c r="K136" i="6"/>
  <c r="K135" i="6"/>
  <c r="K134" i="6"/>
  <c r="L133" i="6" l="1" a="1"/>
  <c r="L137" i="6" l="1"/>
  <c r="L136" i="6"/>
  <c r="L135" i="6"/>
  <c r="L134" i="6"/>
  <c r="L133" i="6"/>
  <c r="M133" i="6" s="1" a="1"/>
  <c r="H229" i="5"/>
  <c r="H226" i="5"/>
  <c r="H227" i="5" s="1"/>
  <c r="E218" i="5"/>
  <c r="E202" i="5"/>
  <c r="D202" i="5"/>
  <c r="E196" i="5"/>
  <c r="D196" i="5"/>
  <c r="C196" i="5"/>
  <c r="C190" i="5"/>
  <c r="E190" i="5" s="1"/>
  <c r="C189" i="5"/>
  <c r="E189" i="5" s="1"/>
  <c r="C188" i="5"/>
  <c r="E188" i="5" s="1"/>
  <c r="C187" i="5"/>
  <c r="E187" i="5" s="1"/>
  <c r="C186" i="5"/>
  <c r="E186" i="5" s="1"/>
  <c r="C185" i="5"/>
  <c r="E185" i="5" s="1"/>
  <c r="C184" i="5"/>
  <c r="E184" i="5" s="1"/>
  <c r="C183" i="5"/>
  <c r="E183" i="5" s="1"/>
  <c r="C182" i="5"/>
  <c r="E182" i="5" s="1"/>
  <c r="J180" i="5"/>
  <c r="K180" i="5" s="1"/>
  <c r="H180" i="5"/>
  <c r="I180" i="5" s="1"/>
  <c r="C175" i="5"/>
  <c r="E175" i="5" s="1"/>
  <c r="C174" i="5"/>
  <c r="E174" i="5" s="1"/>
  <c r="C173" i="5"/>
  <c r="E173" i="5" s="1"/>
  <c r="C172" i="5"/>
  <c r="E172" i="5" s="1"/>
  <c r="C171" i="5"/>
  <c r="E171" i="5" s="1"/>
  <c r="C170" i="5"/>
  <c r="E170" i="5" s="1"/>
  <c r="C169" i="5"/>
  <c r="E169" i="5" s="1"/>
  <c r="C168" i="5"/>
  <c r="E168" i="5" s="1"/>
  <c r="C167" i="5"/>
  <c r="J164" i="5"/>
  <c r="K164" i="5" s="1"/>
  <c r="H164" i="5"/>
  <c r="I164" i="5" s="1"/>
  <c r="G164" i="5"/>
  <c r="C56" i="5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C77" i="5" s="1"/>
  <c r="C78" i="5" s="1"/>
  <c r="C79" i="5" s="1"/>
  <c r="C80" i="5" s="1"/>
  <c r="C81" i="5" s="1"/>
  <c r="C82" i="5" s="1"/>
  <c r="C83" i="5" s="1"/>
  <c r="C84" i="5" s="1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C99" i="5" s="1"/>
  <c r="C100" i="5" s="1"/>
  <c r="C101" i="5" s="1"/>
  <c r="C102" i="5" s="1"/>
  <c r="C103" i="5" s="1"/>
  <c r="C104" i="5" s="1"/>
  <c r="C105" i="5" s="1"/>
  <c r="C106" i="5" s="1"/>
  <c r="C107" i="5" s="1"/>
  <c r="C108" i="5" s="1"/>
  <c r="C109" i="5" s="1"/>
  <c r="C110" i="5" s="1"/>
  <c r="C111" i="5" s="1"/>
  <c r="C112" i="5" s="1"/>
  <c r="C113" i="5" s="1"/>
  <c r="C114" i="5" s="1"/>
  <c r="C115" i="5" s="1"/>
  <c r="C116" i="5" s="1"/>
  <c r="C117" i="5" s="1"/>
  <c r="C118" i="5" s="1"/>
  <c r="C119" i="5" s="1"/>
  <c r="C120" i="5" s="1"/>
  <c r="C121" i="5" s="1"/>
  <c r="C122" i="5" s="1"/>
  <c r="C123" i="5" s="1"/>
  <c r="C124" i="5" s="1"/>
  <c r="C125" i="5" s="1"/>
  <c r="C126" i="5" s="1"/>
  <c r="C127" i="5" s="1"/>
  <c r="C128" i="5" s="1"/>
  <c r="C129" i="5" s="1"/>
  <c r="C130" i="5" s="1"/>
  <c r="C131" i="5" s="1"/>
  <c r="C132" i="5" s="1"/>
  <c r="C133" i="5" s="1"/>
  <c r="C134" i="5" s="1"/>
  <c r="C135" i="5" s="1"/>
  <c r="C136" i="5" s="1"/>
  <c r="C137" i="5" s="1"/>
  <c r="C138" i="5" s="1"/>
  <c r="C139" i="5" s="1"/>
  <c r="C140" i="5" s="1"/>
  <c r="C141" i="5" s="1"/>
  <c r="C142" i="5" s="1"/>
  <c r="C143" i="5" s="1"/>
  <c r="C144" i="5" s="1"/>
  <c r="C145" i="5" s="1"/>
  <c r="C146" i="5" s="1"/>
  <c r="C147" i="5" s="1"/>
  <c r="C148" i="5" s="1"/>
  <c r="C149" i="5" s="1"/>
  <c r="C150" i="5" s="1"/>
  <c r="C151" i="5" s="1"/>
  <c r="C152" i="5" s="1"/>
  <c r="C153" i="5" s="1"/>
  <c r="C154" i="5" s="1"/>
  <c r="F51" i="5"/>
  <c r="E38" i="5"/>
  <c r="D38" i="5"/>
  <c r="C38" i="5"/>
  <c r="F24" i="5"/>
  <c r="G24" i="5" s="1"/>
  <c r="F23" i="5"/>
  <c r="G12" i="5"/>
  <c r="G11" i="5"/>
  <c r="G10" i="5"/>
  <c r="G9" i="5"/>
  <c r="G8" i="5"/>
  <c r="G7" i="5"/>
  <c r="D7" i="5"/>
  <c r="B19" i="5"/>
  <c r="C19" i="5" s="1"/>
  <c r="D19" i="5" s="1"/>
  <c r="E19" i="5" s="1"/>
  <c r="F3" i="5"/>
  <c r="M133" i="6" l="1"/>
  <c r="M134" i="6"/>
  <c r="N134" i="6" s="1"/>
  <c r="M136" i="6"/>
  <c r="N136" i="6" s="1"/>
  <c r="M135" i="6"/>
  <c r="N135" i="6" s="1"/>
  <c r="M137" i="6"/>
  <c r="N137" i="6" s="1"/>
  <c r="D8" i="5"/>
  <c r="C8" i="5" s="1"/>
  <c r="E32" i="5"/>
  <c r="C32" i="5"/>
  <c r="D32" i="5"/>
  <c r="C33" i="5"/>
  <c r="D33" i="5"/>
  <c r="F202" i="5"/>
  <c r="C203" i="5" s="1"/>
  <c r="B41" i="5"/>
  <c r="D41" i="5" s="1"/>
  <c r="C29" i="5"/>
  <c r="F29" i="5" s="1"/>
  <c r="H24" i="5"/>
  <c r="E29" i="5" s="1"/>
  <c r="H29" i="5" s="1"/>
  <c r="E191" i="5"/>
  <c r="C176" i="5"/>
  <c r="E167" i="5"/>
  <c r="C41" i="5"/>
  <c r="F41" i="5" s="1"/>
  <c r="G23" i="5"/>
  <c r="C191" i="5"/>
  <c r="E3" i="5"/>
  <c r="E33" i="5"/>
  <c r="P133" i="6" l="1"/>
  <c r="Q133" i="6" s="1"/>
  <c r="N133" i="6"/>
  <c r="D203" i="5"/>
  <c r="C204" i="5" s="1"/>
  <c r="D9" i="5"/>
  <c r="E203" i="5"/>
  <c r="D29" i="5"/>
  <c r="G29" i="5" s="1"/>
  <c r="H3" i="5"/>
  <c r="G3" i="5"/>
  <c r="I29" i="5"/>
  <c r="J29" i="5" s="1"/>
  <c r="E176" i="5"/>
  <c r="E41" i="5"/>
  <c r="C28" i="5"/>
  <c r="F28" i="5" s="1"/>
  <c r="H23" i="5"/>
  <c r="E28" i="5" s="1"/>
  <c r="H28" i="5" s="1"/>
  <c r="C9" i="5" l="1"/>
  <c r="D10" i="5"/>
  <c r="F173" i="5"/>
  <c r="F171" i="5"/>
  <c r="F186" i="5"/>
  <c r="F175" i="5"/>
  <c r="F168" i="5"/>
  <c r="F190" i="5"/>
  <c r="F189" i="5"/>
  <c r="F169" i="5"/>
  <c r="F188" i="5"/>
  <c r="F184" i="5"/>
  <c r="F170" i="5"/>
  <c r="F185" i="5"/>
  <c r="F172" i="5"/>
  <c r="F174" i="5"/>
  <c r="F187" i="5"/>
  <c r="F182" i="5"/>
  <c r="F183" i="5"/>
  <c r="F167" i="5"/>
  <c r="D28" i="5"/>
  <c r="G28" i="5" s="1"/>
  <c r="I28" i="5" s="1"/>
  <c r="J28" i="5" s="1"/>
  <c r="F176" i="5" l="1"/>
  <c r="C10" i="5"/>
  <c r="D11" i="5"/>
  <c r="J183" i="5"/>
  <c r="K183" i="5" s="1"/>
  <c r="H183" i="5"/>
  <c r="I183" i="5" s="1"/>
  <c r="H168" i="5"/>
  <c r="I168" i="5" s="1"/>
  <c r="J168" i="5"/>
  <c r="K168" i="5" s="1"/>
  <c r="C11" i="5" l="1"/>
  <c r="D12" i="5"/>
  <c r="C12" i="5" s="1"/>
  <c r="C183" i="4"/>
  <c r="C187" i="4" s="1"/>
  <c r="C188" i="4" s="1"/>
  <c r="J182" i="4"/>
  <c r="G182" i="4"/>
  <c r="J181" i="4"/>
  <c r="G181" i="4"/>
  <c r="J180" i="4"/>
  <c r="G180" i="4"/>
  <c r="H160" i="4"/>
  <c r="I160" i="4" s="1"/>
  <c r="C160" i="4"/>
  <c r="G160" i="4" s="1"/>
  <c r="H159" i="4"/>
  <c r="C159" i="4"/>
  <c r="G159" i="4" s="1"/>
  <c r="G161" i="4" s="1"/>
  <c r="E146" i="4"/>
  <c r="D146" i="4"/>
  <c r="D147" i="4" s="1"/>
  <c r="C146" i="4"/>
  <c r="E145" i="4"/>
  <c r="E144" i="4"/>
  <c r="E143" i="4"/>
  <c r="E133" i="4"/>
  <c r="D133" i="4"/>
  <c r="C133" i="4"/>
  <c r="E132" i="4"/>
  <c r="F132" i="4" s="1"/>
  <c r="E131" i="4"/>
  <c r="F131" i="4" s="1"/>
  <c r="Q121" i="4"/>
  <c r="P121" i="4"/>
  <c r="Q120" i="4"/>
  <c r="P120" i="4"/>
  <c r="Q119" i="4"/>
  <c r="P119" i="4"/>
  <c r="Q118" i="4"/>
  <c r="P118" i="4"/>
  <c r="Q117" i="4"/>
  <c r="P117" i="4"/>
  <c r="I117" i="4"/>
  <c r="G117" i="4"/>
  <c r="F117" i="4"/>
  <c r="E117" i="4"/>
  <c r="K117" i="4" s="1"/>
  <c r="G114" i="4"/>
  <c r="E110" i="4"/>
  <c r="H94" i="4"/>
  <c r="G94" i="4"/>
  <c r="F94" i="4"/>
  <c r="E94" i="4"/>
  <c r="D94" i="4"/>
  <c r="F82" i="4"/>
  <c r="E82" i="4"/>
  <c r="D82" i="4"/>
  <c r="C82" i="4"/>
  <c r="L81" i="4"/>
  <c r="K81" i="4"/>
  <c r="J81" i="4"/>
  <c r="G81" i="4"/>
  <c r="H81" i="4" s="1"/>
  <c r="L80" i="4"/>
  <c r="K80" i="4"/>
  <c r="J80" i="4"/>
  <c r="G80" i="4"/>
  <c r="F76" i="4"/>
  <c r="M76" i="4" s="1"/>
  <c r="E76" i="4"/>
  <c r="D76" i="4"/>
  <c r="F75" i="4"/>
  <c r="E75" i="4"/>
  <c r="D75" i="4"/>
  <c r="F74" i="4"/>
  <c r="E74" i="4"/>
  <c r="D74" i="4"/>
  <c r="G70" i="4"/>
  <c r="J65" i="4" s="1"/>
  <c r="G69" i="4"/>
  <c r="G68" i="4"/>
  <c r="G67" i="4"/>
  <c r="G66" i="4"/>
  <c r="G65" i="4"/>
  <c r="G64" i="4"/>
  <c r="G63" i="4"/>
  <c r="G62" i="4"/>
  <c r="C51" i="4"/>
  <c r="E34" i="4"/>
  <c r="H32" i="4" s="1"/>
  <c r="D34" i="4"/>
  <c r="C34" i="4"/>
  <c r="E33" i="4"/>
  <c r="E32" i="4"/>
  <c r="E28" i="4"/>
  <c r="F28" i="4" s="1"/>
  <c r="E27" i="4"/>
  <c r="G27" i="4" s="1"/>
  <c r="E26" i="4"/>
  <c r="E25" i="4"/>
  <c r="G25" i="4" s="1"/>
  <c r="E24" i="4"/>
  <c r="G24" i="4" s="1"/>
  <c r="E23" i="4"/>
  <c r="G23" i="4" s="1"/>
  <c r="E22" i="4"/>
  <c r="G22" i="4" s="1"/>
  <c r="I15" i="4"/>
  <c r="I16" i="4" s="1"/>
  <c r="H16" i="4" s="1"/>
  <c r="H17" i="4" s="1"/>
  <c r="H18" i="4" s="1"/>
  <c r="E15" i="4"/>
  <c r="D15" i="4"/>
  <c r="D16" i="4" s="1"/>
  <c r="D17" i="4" s="1"/>
  <c r="C15" i="4"/>
  <c r="E6" i="4"/>
  <c r="D6" i="4"/>
  <c r="H6" i="4" s="1"/>
  <c r="C6" i="4"/>
  <c r="H5" i="4"/>
  <c r="F5" i="4"/>
  <c r="H4" i="4"/>
  <c r="F4" i="4"/>
  <c r="G4" i="4" s="1"/>
  <c r="I4" i="4" s="1"/>
  <c r="H3" i="4"/>
  <c r="F3" i="4"/>
  <c r="H2" i="4"/>
  <c r="F2" i="4"/>
  <c r="G2" i="4" s="1"/>
  <c r="C14" i="5" l="1"/>
  <c r="F14" i="5" s="1"/>
  <c r="C16" i="5"/>
  <c r="C15" i="5"/>
  <c r="C13" i="5"/>
  <c r="C16" i="4"/>
  <c r="C17" i="4" s="1"/>
  <c r="J117" i="4"/>
  <c r="N117" i="4" s="1"/>
  <c r="H117" i="4"/>
  <c r="M117" i="4" s="1"/>
  <c r="J63" i="4"/>
  <c r="E16" i="4"/>
  <c r="E17" i="4" s="1"/>
  <c r="K94" i="4"/>
  <c r="Q94" i="4" s="1"/>
  <c r="H33" i="4"/>
  <c r="C37" i="4" s="1"/>
  <c r="I33" i="4"/>
  <c r="D37" i="4" s="1"/>
  <c r="L82" i="4"/>
  <c r="C86" i="4"/>
  <c r="G86" i="4" s="1"/>
  <c r="H15" i="4"/>
  <c r="M74" i="4"/>
  <c r="F159" i="4"/>
  <c r="F144" i="4"/>
  <c r="J94" i="4"/>
  <c r="F6" i="4"/>
  <c r="G6" i="4" s="1"/>
  <c r="I6" i="4" s="1"/>
  <c r="J82" i="4"/>
  <c r="F145" i="4"/>
  <c r="D152" i="4" s="1"/>
  <c r="G152" i="4" s="1"/>
  <c r="J152" i="4" s="1"/>
  <c r="C147" i="4"/>
  <c r="M75" i="4"/>
  <c r="J64" i="4"/>
  <c r="K82" i="4"/>
  <c r="C134" i="4"/>
  <c r="C137" i="4" s="1"/>
  <c r="F137" i="4" s="1"/>
  <c r="I137" i="4" s="1"/>
  <c r="H80" i="4"/>
  <c r="E86" i="4" s="1"/>
  <c r="I86" i="4" s="1"/>
  <c r="F143" i="4"/>
  <c r="D150" i="4" s="1"/>
  <c r="G150" i="4" s="1"/>
  <c r="J150" i="4" s="1"/>
  <c r="I17" i="4"/>
  <c r="I18" i="4" s="1"/>
  <c r="C87" i="4"/>
  <c r="G87" i="4" s="1"/>
  <c r="C185" i="4"/>
  <c r="J62" i="4"/>
  <c r="H161" i="4"/>
  <c r="D161" i="4" s="1"/>
  <c r="H162" i="4" s="1"/>
  <c r="H163" i="4" s="1"/>
  <c r="F25" i="4"/>
  <c r="H25" i="4" s="1"/>
  <c r="I25" i="4" s="1"/>
  <c r="G28" i="4"/>
  <c r="H28" i="4" s="1"/>
  <c r="I28" i="4" s="1"/>
  <c r="G26" i="4"/>
  <c r="F26" i="4"/>
  <c r="I182" i="4"/>
  <c r="K182" i="4" s="1"/>
  <c r="L182" i="4" s="1"/>
  <c r="E87" i="4"/>
  <c r="I87" i="4" s="1"/>
  <c r="D87" i="4"/>
  <c r="H87" i="4" s="1"/>
  <c r="I159" i="4"/>
  <c r="F24" i="4"/>
  <c r="H24" i="4" s="1"/>
  <c r="I24" i="4" s="1"/>
  <c r="J17" i="4"/>
  <c r="J18" i="4" s="1"/>
  <c r="F22" i="4"/>
  <c r="D187" i="4"/>
  <c r="G5" i="4"/>
  <c r="I5" i="4" s="1"/>
  <c r="D86" i="4"/>
  <c r="H86" i="4" s="1"/>
  <c r="F27" i="4"/>
  <c r="H27" i="4" s="1"/>
  <c r="I27" i="4" s="1"/>
  <c r="I180" i="4"/>
  <c r="K180" i="4" s="1"/>
  <c r="L180" i="4" s="1"/>
  <c r="D188" i="4"/>
  <c r="G3" i="4"/>
  <c r="I3" i="4" s="1"/>
  <c r="I34" i="4"/>
  <c r="D38" i="4" s="1"/>
  <c r="J33" i="4"/>
  <c r="E37" i="4" s="1"/>
  <c r="I32" i="4"/>
  <c r="D36" i="4" s="1"/>
  <c r="J32" i="4"/>
  <c r="E36" i="4" s="1"/>
  <c r="H34" i="4"/>
  <c r="C38" i="4" s="1"/>
  <c r="M73" i="4"/>
  <c r="G82" i="4"/>
  <c r="I94" i="4"/>
  <c r="L117" i="4"/>
  <c r="D134" i="4"/>
  <c r="D137" i="4" s="1"/>
  <c r="G137" i="4" s="1"/>
  <c r="J137" i="4" s="1"/>
  <c r="C189" i="4"/>
  <c r="C190" i="4" s="1"/>
  <c r="G183" i="4"/>
  <c r="D189" i="4" s="1"/>
  <c r="J183" i="4"/>
  <c r="F23" i="4"/>
  <c r="H23" i="4" s="1"/>
  <c r="I23" i="4" s="1"/>
  <c r="F160" i="4"/>
  <c r="J160" i="4" s="1"/>
  <c r="O117" i="4" l="1"/>
  <c r="C118" i="4"/>
  <c r="H97" i="4"/>
  <c r="H98" i="4" s="1"/>
  <c r="R94" i="4"/>
  <c r="D118" i="4"/>
  <c r="G118" i="4" s="1"/>
  <c r="P94" i="4"/>
  <c r="G97" i="4" s="1"/>
  <c r="G98" i="4" s="1"/>
  <c r="C152" i="4"/>
  <c r="F152" i="4" s="1"/>
  <c r="I152" i="4" s="1"/>
  <c r="J66" i="4"/>
  <c r="F161" i="4"/>
  <c r="C42" i="4"/>
  <c r="D42" i="4" s="1"/>
  <c r="D192" i="4"/>
  <c r="C138" i="4"/>
  <c r="F138" i="4" s="1"/>
  <c r="I138" i="4" s="1"/>
  <c r="C139" i="4" s="1"/>
  <c r="C140" i="4" s="1"/>
  <c r="C151" i="4"/>
  <c r="F151" i="4" s="1"/>
  <c r="I151" i="4" s="1"/>
  <c r="H26" i="4"/>
  <c r="I26" i="4" s="1"/>
  <c r="K86" i="4"/>
  <c r="L86" i="4" s="1"/>
  <c r="D191" i="4"/>
  <c r="D151" i="4"/>
  <c r="G151" i="4" s="1"/>
  <c r="J151" i="4" s="1"/>
  <c r="N94" i="4"/>
  <c r="E97" i="4" s="1"/>
  <c r="E98" i="4" s="1"/>
  <c r="J159" i="4"/>
  <c r="C150" i="4"/>
  <c r="F150" i="4" s="1"/>
  <c r="I150" i="4" s="1"/>
  <c r="H22" i="4"/>
  <c r="I22" i="4" s="1"/>
  <c r="E118" i="4"/>
  <c r="K118" i="4" s="1"/>
  <c r="K87" i="4"/>
  <c r="L87" i="4" s="1"/>
  <c r="C41" i="4"/>
  <c r="D41" i="4" s="1"/>
  <c r="C40" i="4"/>
  <c r="D40" i="4" s="1"/>
  <c r="C191" i="4"/>
  <c r="C192" i="4" s="1"/>
  <c r="C193" i="4" s="1"/>
  <c r="D138" i="4"/>
  <c r="G138" i="4" s="1"/>
  <c r="J138" i="4" s="1"/>
  <c r="C161" i="4"/>
  <c r="I118" i="4"/>
  <c r="F118" i="4"/>
  <c r="M94" i="4"/>
  <c r="D97" i="4" s="1"/>
  <c r="D98" i="4" s="1"/>
  <c r="L94" i="4"/>
  <c r="C97" i="4" s="1"/>
  <c r="C98" i="4" s="1"/>
  <c r="O94" i="4"/>
  <c r="F97" i="4" s="1"/>
  <c r="F98" i="4" s="1"/>
  <c r="C88" i="4"/>
  <c r="G88" i="4" s="1"/>
  <c r="H82" i="4"/>
  <c r="E88" i="4" s="1"/>
  <c r="I88" i="4" s="1"/>
  <c r="D190" i="4"/>
  <c r="I181" i="4"/>
  <c r="K181" i="4" s="1"/>
  <c r="L181" i="4" s="1"/>
  <c r="I183" i="4"/>
  <c r="K183" i="4" s="1"/>
  <c r="L183" i="4" s="1"/>
  <c r="C153" i="4" l="1"/>
  <c r="C154" i="4" s="1"/>
  <c r="J118" i="4"/>
  <c r="N118" i="4" s="1"/>
  <c r="H118" i="4"/>
  <c r="L118" i="4" s="1"/>
  <c r="D193" i="4"/>
  <c r="C99" i="4"/>
  <c r="C100" i="4" s="1"/>
  <c r="G162" i="4"/>
  <c r="G163" i="4" s="1"/>
  <c r="F162" i="4"/>
  <c r="F163" i="4" s="1"/>
  <c r="D88" i="4"/>
  <c r="H88" i="4" s="1"/>
  <c r="K88" i="4" s="1"/>
  <c r="L88" i="4" s="1"/>
  <c r="O118" i="4" l="1"/>
  <c r="D119" i="4" s="1"/>
  <c r="I119" i="4" s="1"/>
  <c r="M118" i="4"/>
  <c r="E119" i="4" s="1"/>
  <c r="K119" i="4" s="1"/>
  <c r="C119" i="4" l="1"/>
  <c r="G119" i="4" s="1"/>
  <c r="J119" i="4"/>
  <c r="O119" i="4" s="1"/>
  <c r="N119" i="4" l="1"/>
  <c r="D120" i="4" s="1"/>
  <c r="F119" i="4"/>
  <c r="H119" i="4"/>
  <c r="I120" i="4"/>
  <c r="M119" i="4" l="1"/>
  <c r="E120" i="4" s="1"/>
  <c r="K120" i="4" s="1"/>
  <c r="L119" i="4"/>
  <c r="C120" i="4"/>
  <c r="J120" i="4"/>
  <c r="O120" i="4" s="1"/>
  <c r="N120" i="4" l="1"/>
  <c r="D121" i="4" s="1"/>
  <c r="H120" i="4"/>
  <c r="G120" i="4"/>
  <c r="F120" i="4"/>
  <c r="L120" i="4" l="1"/>
  <c r="M120" i="4"/>
  <c r="E121" i="4" s="1"/>
  <c r="K121" i="4" s="1"/>
  <c r="I121" i="4"/>
  <c r="F123" i="4" l="1"/>
  <c r="F124" i="4"/>
  <c r="F125" i="4" s="1"/>
  <c r="J121" i="4"/>
  <c r="D123" i="4" s="1"/>
  <c r="C121" i="4"/>
  <c r="H121" i="4" s="1"/>
  <c r="N121" i="4"/>
  <c r="D124" i="4"/>
  <c r="D125" i="4" s="1"/>
  <c r="F121" i="4" l="1"/>
  <c r="G121" i="4"/>
  <c r="O121" i="4"/>
  <c r="L121" i="4"/>
  <c r="M121" i="4"/>
  <c r="E124" i="4" l="1"/>
  <c r="E125" i="4" s="1"/>
  <c r="E123" i="4"/>
  <c r="C124" i="4"/>
  <c r="C123" i="4"/>
  <c r="G123" i="4" s="1"/>
  <c r="C125" i="4"/>
  <c r="G124" i="4"/>
  <c r="C126" i="4" l="1"/>
  <c r="C127" i="4" s="1"/>
  <c r="E224" i="5" l="1"/>
  <c r="E223" i="5"/>
  <c r="E225" i="5"/>
  <c r="E226" i="5"/>
  <c r="E222" i="5"/>
  <c r="E227" i="5"/>
  <c r="E231" i="5"/>
  <c r="E230" i="5"/>
  <c r="E229" i="5"/>
  <c r="E228" i="5"/>
  <c r="H222" i="5"/>
  <c r="E232" i="5"/>
  <c r="E221" i="5"/>
  <c r="H223" i="5"/>
  <c r="H231" i="5"/>
</calcChain>
</file>

<file path=xl/sharedStrings.xml><?xml version="1.0" encoding="utf-8"?>
<sst xmlns="http://schemas.openxmlformats.org/spreadsheetml/2006/main" count="4041" uniqueCount="2011">
  <si>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 xml:space="preserve">1.1 </t>
    </r>
    <phoneticPr fontId="7" type="noConversion"/>
  </si>
  <si>
    <r>
      <rPr>
        <sz val="11"/>
        <color theme="1"/>
        <rFont val="宋体"/>
        <family val="2"/>
      </rPr>
      <t>群体</t>
    </r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</si>
  <si>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</si>
  <si>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</si>
  <si>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</si>
  <si>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p</t>
    <phoneticPr fontId="7" type="noConversion"/>
  </si>
  <si>
    <t>q</t>
    <phoneticPr fontId="7" type="noConversion"/>
  </si>
  <si>
    <r>
      <rPr>
        <sz val="11"/>
        <color theme="1"/>
        <rFont val="宋体"/>
        <family val="2"/>
      </rPr>
      <t>杂合度</t>
    </r>
    <phoneticPr fontId="7" type="noConversion"/>
  </si>
  <si>
    <r>
      <rPr>
        <sz val="11"/>
        <color theme="1"/>
        <rFont val="宋体"/>
        <family val="2"/>
      </rPr>
      <t>多样性</t>
    </r>
    <phoneticPr fontId="7" type="noConversion"/>
  </si>
  <si>
    <t>F1</t>
    <phoneticPr fontId="7" type="noConversion"/>
  </si>
  <si>
    <t>F2</t>
    <phoneticPr fontId="7" type="noConversion"/>
  </si>
  <si>
    <t>F3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</si>
  <si>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1.2</t>
    </r>
    <phoneticPr fontId="7" type="noConversion"/>
  </si>
  <si>
    <r>
      <rPr>
        <sz val="11"/>
        <color theme="1"/>
        <rFont val="宋体"/>
        <family val="2"/>
      </rPr>
      <t>用</t>
    </r>
    <r>
      <rPr>
        <sz val="11"/>
        <color theme="1"/>
        <rFont val="Times New Roman"/>
        <family val="1"/>
      </rPr>
      <t>p1</t>
    </r>
    <r>
      <rPr>
        <sz val="11"/>
        <color theme="1"/>
        <rFont val="宋体"/>
        <family val="2"/>
      </rPr>
      <t>、</t>
    </r>
    <r>
      <rPr>
        <sz val="11"/>
        <color theme="1"/>
        <rFont val="Times New Roman"/>
        <family val="1"/>
      </rPr>
      <t>p2</t>
    </r>
    <r>
      <rPr>
        <sz val="11"/>
        <color theme="1"/>
        <rFont val="宋体"/>
        <family val="2"/>
      </rPr>
      <t>、</t>
    </r>
    <r>
      <rPr>
        <sz val="11"/>
        <color theme="1"/>
        <rFont val="Times New Roman"/>
        <family val="1"/>
      </rPr>
      <t>p3</t>
    </r>
    <r>
      <rPr>
        <sz val="11"/>
        <color theme="1"/>
        <rFont val="宋体"/>
        <family val="2"/>
      </rPr>
      <t>表示三个等位基因频率</t>
    </r>
    <r>
      <rPr>
        <sz val="11"/>
        <color theme="1"/>
        <rFont val="Times New Roman"/>
        <family val="1"/>
      </rPr>
      <t>,p1+p2+p3=1</t>
    </r>
    <phoneticPr fontId="7" type="noConversion"/>
  </si>
  <si>
    <r>
      <rPr>
        <sz val="11"/>
        <color theme="1"/>
        <rFont val="宋体"/>
        <family val="2"/>
      </rPr>
      <t>利用</t>
    </r>
    <r>
      <rPr>
        <sz val="11"/>
        <color theme="1"/>
        <rFont val="Times New Roman"/>
        <family val="1"/>
      </rPr>
      <t>(p1+p2+p3)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=p1p1+p2p2+p3p3+2p1p2+2p1p3+2p2p3=1</t>
    </r>
    <phoneticPr fontId="7" type="noConversion"/>
  </si>
  <si>
    <r>
      <rPr>
        <sz val="11"/>
        <color theme="1"/>
        <rFont val="宋体"/>
        <family val="2"/>
      </rPr>
      <t>得到，杂合度</t>
    </r>
    <r>
      <rPr>
        <sz val="11"/>
        <color theme="1"/>
        <rFont val="Times New Roman"/>
        <family val="1"/>
      </rPr>
      <t>=2p1p2+2p1p3+2p2p3=1-p1p1-p2p2-p3p3=</t>
    </r>
    <r>
      <rPr>
        <sz val="11"/>
        <color theme="1"/>
        <rFont val="宋体"/>
        <family val="2"/>
      </rPr>
      <t>基因多样性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</si>
  <si>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1.3</t>
    </r>
    <phoneticPr fontId="7" type="noConversion"/>
  </si>
  <si>
    <t>P1BC1F1</t>
    <phoneticPr fontId="7" type="noConversion"/>
  </si>
  <si>
    <t>P1BC2F1</t>
    <phoneticPr fontId="7" type="noConversion"/>
  </si>
  <si>
    <r>
      <rPr>
        <sz val="11"/>
        <color theme="1"/>
        <rFont val="宋体"/>
        <family val="2"/>
      </rPr>
      <t>分离比</t>
    </r>
    <phoneticPr fontId="7" type="noConversion"/>
  </si>
  <si>
    <t>P1BC1F2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</si>
  <si>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1.4</t>
    </r>
    <phoneticPr fontId="7" type="noConversion"/>
  </si>
  <si>
    <r>
      <rPr>
        <sz val="11"/>
        <color theme="1"/>
        <rFont val="宋体"/>
        <family val="2"/>
      </rPr>
      <t>期望值</t>
    </r>
    <phoneticPr fontId="7" type="noConversion"/>
  </si>
  <si>
    <r>
      <rPr>
        <sz val="11"/>
        <color theme="1"/>
        <rFont val="宋体"/>
        <family val="2"/>
      </rPr>
      <t>显性</t>
    </r>
    <phoneticPr fontId="7" type="noConversion"/>
  </si>
  <si>
    <r>
      <rPr>
        <sz val="11"/>
        <color theme="1"/>
        <rFont val="宋体"/>
        <family val="2"/>
      </rPr>
      <t>隐性</t>
    </r>
    <phoneticPr fontId="7" type="noConversion"/>
  </si>
  <si>
    <r>
      <rPr>
        <sz val="11"/>
        <color theme="1"/>
        <rFont val="宋体"/>
        <family val="2"/>
      </rPr>
      <t>总样本</t>
    </r>
    <phoneticPr fontId="7" type="noConversion"/>
  </si>
  <si>
    <r>
      <t>χ</t>
    </r>
    <r>
      <rPr>
        <vertAlign val="super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值</t>
    </r>
    <phoneticPr fontId="7" type="noConversion"/>
  </si>
  <si>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2"/>
      </rPr>
      <t>值</t>
    </r>
    <phoneticPr fontId="7" type="noConversion"/>
  </si>
  <si>
    <r>
      <rPr>
        <sz val="10.5"/>
        <color theme="1"/>
        <rFont val="宋体"/>
        <family val="3"/>
        <charset val="134"/>
      </rPr>
      <t>圆鼓，皱缩</t>
    </r>
    <phoneticPr fontId="7" type="noConversion"/>
  </si>
  <si>
    <r>
      <rPr>
        <sz val="10.5"/>
        <color theme="1"/>
        <rFont val="宋体"/>
        <family val="3"/>
        <charset val="134"/>
      </rPr>
      <t>黄色，绿色</t>
    </r>
    <phoneticPr fontId="7" type="noConversion"/>
  </si>
  <si>
    <r>
      <rPr>
        <sz val="10.5"/>
        <color theme="1"/>
        <rFont val="宋体"/>
        <family val="3"/>
        <charset val="134"/>
      </rPr>
      <t>粉红，白色</t>
    </r>
    <phoneticPr fontId="7" type="noConversion"/>
  </si>
  <si>
    <r>
      <rPr>
        <sz val="10.5"/>
        <color theme="1"/>
        <rFont val="宋体"/>
        <family val="3"/>
        <charset val="134"/>
      </rPr>
      <t>饱满，收缩</t>
    </r>
    <phoneticPr fontId="7" type="noConversion"/>
  </si>
  <si>
    <r>
      <rPr>
        <sz val="10.5"/>
        <color theme="1"/>
        <rFont val="宋体"/>
        <family val="3"/>
        <charset val="134"/>
      </rPr>
      <t>绿色，黄色</t>
    </r>
    <phoneticPr fontId="7" type="noConversion"/>
  </si>
  <si>
    <r>
      <rPr>
        <sz val="10.5"/>
        <color theme="1"/>
        <rFont val="宋体"/>
        <family val="3"/>
        <charset val="134"/>
      </rPr>
      <t>无限，有限</t>
    </r>
    <phoneticPr fontId="7" type="noConversion"/>
  </si>
  <si>
    <r>
      <rPr>
        <sz val="10.5"/>
        <color theme="1"/>
        <rFont val="宋体"/>
        <family val="3"/>
        <charset val="134"/>
      </rPr>
      <t>长型，短型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</si>
  <si>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1.5</t>
    </r>
    <phoneticPr fontId="7" type="noConversion"/>
  </si>
  <si>
    <r>
      <rPr>
        <sz val="10.5"/>
        <color theme="1"/>
        <rFont val="宋体"/>
        <family val="3"/>
        <charset val="134"/>
      </rPr>
      <t>籽粒形状</t>
    </r>
    <phoneticPr fontId="7" type="noConversion"/>
  </si>
  <si>
    <r>
      <rPr>
        <sz val="11"/>
        <color theme="1"/>
        <rFont val="宋体"/>
        <family val="3"/>
        <charset val="134"/>
      </rPr>
      <t>籽粒颜色</t>
    </r>
    <phoneticPr fontId="7" type="noConversion"/>
  </si>
  <si>
    <r>
      <rPr>
        <sz val="11"/>
        <color theme="1"/>
        <rFont val="宋体"/>
        <family val="3"/>
        <charset val="134"/>
      </rPr>
      <t>观测值</t>
    </r>
    <phoneticPr fontId="7" type="noConversion"/>
  </si>
  <si>
    <r>
      <rPr>
        <sz val="11"/>
        <color theme="1"/>
        <rFont val="宋体"/>
        <family val="3"/>
        <charset val="134"/>
      </rPr>
      <t>黄色</t>
    </r>
    <phoneticPr fontId="7" type="noConversion"/>
  </si>
  <si>
    <r>
      <rPr>
        <sz val="11"/>
        <color theme="1"/>
        <rFont val="宋体"/>
        <family val="3"/>
        <charset val="134"/>
      </rPr>
      <t>绿色</t>
    </r>
    <phoneticPr fontId="7" type="noConversion"/>
  </si>
  <si>
    <r>
      <rPr>
        <sz val="11"/>
        <color theme="1"/>
        <rFont val="宋体"/>
        <family val="3"/>
        <charset val="134"/>
      </rPr>
      <t>行和</t>
    </r>
    <phoneticPr fontId="7" type="noConversion"/>
  </si>
  <si>
    <r>
      <rPr>
        <sz val="11"/>
        <color theme="1"/>
        <rFont val="宋体"/>
        <family val="3"/>
        <charset val="134"/>
      </rPr>
      <t>期望值</t>
    </r>
    <phoneticPr fontId="7" type="noConversion"/>
  </si>
  <si>
    <r>
      <rPr>
        <sz val="10.5"/>
        <color theme="1"/>
        <rFont val="宋体"/>
        <family val="3"/>
        <charset val="134"/>
      </rPr>
      <t>圆形</t>
    </r>
    <phoneticPr fontId="7" type="noConversion"/>
  </si>
  <si>
    <r>
      <rPr>
        <sz val="10.5"/>
        <color theme="1"/>
        <rFont val="宋体"/>
        <family val="3"/>
        <charset val="134"/>
      </rPr>
      <t>皱形</t>
    </r>
    <phoneticPr fontId="7" type="noConversion"/>
  </si>
  <si>
    <r>
      <rPr>
        <sz val="10.5"/>
        <color theme="1"/>
        <rFont val="宋体"/>
        <family val="3"/>
        <charset val="134"/>
      </rPr>
      <t>列和</t>
    </r>
    <phoneticPr fontId="7" type="noConversion"/>
  </si>
  <si>
    <r>
      <rPr>
        <sz val="11"/>
        <color theme="1"/>
        <rFont val="宋体"/>
        <family val="3"/>
        <charset val="134"/>
      </rPr>
      <t>两个性状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</si>
  <si>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1.6</t>
    </r>
    <phoneticPr fontId="7" type="noConversion"/>
  </si>
  <si>
    <t>基因型频率</t>
    <phoneticPr fontId="7" type="noConversion"/>
  </si>
  <si>
    <t>表型频率</t>
    <phoneticPr fontId="7" type="noConversion"/>
  </si>
  <si>
    <t>YY黄色</t>
    <phoneticPr fontId="7" type="noConversion"/>
  </si>
  <si>
    <t>Yy黄色</t>
    <phoneticPr fontId="7" type="noConversion"/>
  </si>
  <si>
    <t>yy绿色</t>
    <phoneticPr fontId="7" type="noConversion"/>
  </si>
  <si>
    <t>黄色</t>
    <phoneticPr fontId="7" type="noConversion"/>
  </si>
  <si>
    <t>绿色</t>
    <phoneticPr fontId="7" type="noConversion"/>
  </si>
  <si>
    <r>
      <rPr>
        <sz val="11"/>
        <color theme="1"/>
        <rFont val="宋体"/>
        <family val="3"/>
        <charset val="134"/>
      </rPr>
      <t>亲本</t>
    </r>
    <r>
      <rPr>
        <sz val="11"/>
        <color theme="1"/>
        <rFont val="Times New Roman"/>
        <family val="1"/>
      </rPr>
      <t>P1</t>
    </r>
    <phoneticPr fontId="7" type="noConversion"/>
  </si>
  <si>
    <r>
      <rPr>
        <sz val="11"/>
        <color theme="1"/>
        <rFont val="宋体"/>
        <family val="3"/>
        <charset val="134"/>
      </rPr>
      <t>亲本</t>
    </r>
    <r>
      <rPr>
        <sz val="11"/>
        <color theme="1"/>
        <rFont val="Times New Roman"/>
        <family val="1"/>
      </rPr>
      <t>P2</t>
    </r>
    <phoneticPr fontId="7" type="noConversion"/>
  </si>
  <si>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F1</t>
    </r>
    <phoneticPr fontId="7" type="noConversion"/>
  </si>
  <si>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P2BC1</t>
    </r>
    <phoneticPr fontId="7" type="noConversion"/>
  </si>
  <si>
    <t>为了观测到分离的表型</t>
    <phoneticPr fontId="7" type="noConversion"/>
  </si>
  <si>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F2</t>
    </r>
    <r>
      <rPr>
        <sz val="11"/>
        <color theme="1"/>
        <rFont val="宋体"/>
        <family val="2"/>
        <charset val="134"/>
        <scheme val="minor"/>
      </rPr>
      <t/>
    </r>
    <phoneticPr fontId="7" type="noConversion"/>
  </si>
  <si>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4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P{YY|</t>
    </r>
    <r>
      <rPr>
        <sz val="11"/>
        <color theme="1"/>
        <rFont val="宋体"/>
        <family val="3"/>
        <charset val="134"/>
      </rPr>
      <t>黄色</t>
    </r>
    <r>
      <rPr>
        <sz val="11"/>
        <color theme="1"/>
        <rFont val="Times New Roman"/>
        <family val="1"/>
      </rPr>
      <t>}</t>
    </r>
    <phoneticPr fontId="7" type="noConversion"/>
  </si>
  <si>
    <r>
      <rPr>
        <sz val="11"/>
        <color theme="1"/>
        <rFont val="宋体"/>
        <family val="3"/>
        <charset val="134"/>
      </rPr>
      <t>群体</t>
    </r>
    <phoneticPr fontId="7" type="noConversion"/>
  </si>
  <si>
    <t>YY</t>
    <phoneticPr fontId="7" type="noConversion"/>
  </si>
  <si>
    <t>Yy</t>
    <phoneticPr fontId="7" type="noConversion"/>
  </si>
  <si>
    <t>yy</t>
    <phoneticPr fontId="7" type="noConversion"/>
  </si>
  <si>
    <t>(1)</t>
    <phoneticPr fontId="7" type="noConversion"/>
  </si>
  <si>
    <t>(2)</t>
  </si>
  <si>
    <t>F1×YY</t>
    <phoneticPr fontId="7" type="noConversion"/>
  </si>
  <si>
    <t>F1×yy</t>
    <phoneticPr fontId="7" type="noConversion"/>
  </si>
  <si>
    <r>
      <rPr>
        <sz val="11"/>
        <color theme="1"/>
        <rFont val="宋体"/>
        <family val="3"/>
        <charset val="134"/>
      </rPr>
      <t>黄绿各占</t>
    </r>
    <r>
      <rPr>
        <sz val="11"/>
        <color theme="1"/>
        <rFont val="Times New Roman"/>
        <family val="1"/>
      </rPr>
      <t>0.5</t>
    </r>
    <phoneticPr fontId="7" type="noConversion"/>
  </si>
  <si>
    <t>(3)</t>
  </si>
  <si>
    <r>
      <rPr>
        <sz val="11"/>
        <color theme="1"/>
        <rFont val="宋体"/>
        <family val="3"/>
        <charset val="134"/>
      </rPr>
      <t>黄</t>
    </r>
    <r>
      <rPr>
        <sz val="11"/>
        <color theme="1"/>
        <rFont val="Times New Roman"/>
        <family val="1"/>
      </rPr>
      <t>:</t>
    </r>
    <r>
      <rPr>
        <sz val="11"/>
        <color theme="1"/>
        <rFont val="宋体"/>
        <family val="3"/>
        <charset val="134"/>
      </rPr>
      <t>绿</t>
    </r>
    <r>
      <rPr>
        <sz val="11"/>
        <color theme="1"/>
        <rFont val="Times New Roman"/>
        <family val="1"/>
      </rPr>
      <t>=3:1</t>
    </r>
    <phoneticPr fontId="7" type="noConversion"/>
  </si>
  <si>
    <t>(4)</t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</si>
  <si>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1.7</t>
    </r>
    <phoneticPr fontId="7" type="noConversion"/>
  </si>
  <si>
    <r>
      <t>(1)F2</t>
    </r>
    <r>
      <rPr>
        <sz val="11"/>
        <color theme="1"/>
        <rFont val="宋体"/>
        <family val="3"/>
        <charset val="134"/>
      </rPr>
      <t>基因型及其频率和表型</t>
    </r>
    <phoneticPr fontId="7" type="noConversion"/>
  </si>
  <si>
    <r>
      <t>(2)F2</t>
    </r>
    <r>
      <rPr>
        <sz val="11"/>
        <color theme="1"/>
        <rFont val="宋体"/>
        <family val="3"/>
        <charset val="134"/>
      </rPr>
      <t>表型及其频率</t>
    </r>
    <phoneticPr fontId="7" type="noConversion"/>
  </si>
  <si>
    <t>座位Y/y</t>
    <phoneticPr fontId="7" type="noConversion"/>
  </si>
  <si>
    <t>频率</t>
    <phoneticPr fontId="7" type="noConversion"/>
  </si>
  <si>
    <t>座位R/r</t>
    <phoneticPr fontId="7" type="noConversion"/>
  </si>
  <si>
    <t>两个座位</t>
    <phoneticPr fontId="7" type="noConversion"/>
  </si>
  <si>
    <t>表型</t>
    <phoneticPr fontId="7" type="noConversion"/>
  </si>
  <si>
    <r>
      <t>F2</t>
    </r>
    <r>
      <rPr>
        <sz val="11"/>
        <color theme="1"/>
        <rFont val="宋体"/>
        <family val="3"/>
        <charset val="134"/>
      </rPr>
      <t>表型</t>
    </r>
    <phoneticPr fontId="7" type="noConversion"/>
  </si>
  <si>
    <t>RR</t>
    <phoneticPr fontId="7" type="noConversion"/>
  </si>
  <si>
    <t>YYRR</t>
    <phoneticPr fontId="7" type="noConversion"/>
  </si>
  <si>
    <t>黄、圆</t>
    <phoneticPr fontId="7" type="noConversion"/>
  </si>
  <si>
    <t>Rr</t>
    <phoneticPr fontId="7" type="noConversion"/>
  </si>
  <si>
    <t>YYRr</t>
    <phoneticPr fontId="7" type="noConversion"/>
  </si>
  <si>
    <t>黄、皱</t>
    <phoneticPr fontId="7" type="noConversion"/>
  </si>
  <si>
    <t>rr</t>
    <phoneticPr fontId="7" type="noConversion"/>
  </si>
  <si>
    <t>YYrr</t>
    <phoneticPr fontId="7" type="noConversion"/>
  </si>
  <si>
    <t>绿、圆</t>
    <phoneticPr fontId="7" type="noConversion"/>
  </si>
  <si>
    <t>YyRR</t>
    <phoneticPr fontId="7" type="noConversion"/>
  </si>
  <si>
    <t>绿、皱</t>
    <phoneticPr fontId="7" type="noConversion"/>
  </si>
  <si>
    <t>YyYRr</t>
    <phoneticPr fontId="7" type="noConversion"/>
  </si>
  <si>
    <r>
      <rPr>
        <sz val="11"/>
        <color theme="1"/>
        <rFont val="宋体"/>
        <family val="3"/>
        <charset val="134"/>
      </rPr>
      <t>总和</t>
    </r>
    <phoneticPr fontId="7" type="noConversion"/>
  </si>
  <si>
    <t>Yyrr</t>
    <phoneticPr fontId="7" type="noConversion"/>
  </si>
  <si>
    <t>yyRR</t>
    <phoneticPr fontId="7" type="noConversion"/>
  </si>
  <si>
    <t>yyYRr</t>
    <phoneticPr fontId="7" type="noConversion"/>
  </si>
  <si>
    <t>yyrr</t>
    <phoneticPr fontId="7" type="noConversion"/>
  </si>
  <si>
    <t xml:space="preserve"> </t>
    <phoneticPr fontId="7" type="noConversion"/>
  </si>
  <si>
    <r>
      <rPr>
        <sz val="11"/>
        <color theme="1"/>
        <rFont val="宋体"/>
        <family val="3"/>
        <charset val="134"/>
      </rPr>
      <t>粒型座位</t>
    </r>
    <phoneticPr fontId="7" type="noConversion"/>
  </si>
  <si>
    <r>
      <rPr>
        <sz val="11"/>
        <color theme="1"/>
        <rFont val="宋体"/>
        <family val="3"/>
        <charset val="134"/>
      </rPr>
      <t>概率</t>
    </r>
    <phoneticPr fontId="7" type="noConversion"/>
  </si>
  <si>
    <r>
      <rPr>
        <sz val="11"/>
        <color theme="1"/>
        <rFont val="宋体"/>
        <family val="3"/>
        <charset val="134"/>
      </rPr>
      <t>粒色座位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</si>
  <si>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F2</t>
    </r>
    <r>
      <rPr>
        <sz val="11"/>
        <color theme="1"/>
        <rFont val="宋体"/>
        <family val="3"/>
        <charset val="134"/>
      </rPr>
      <t>基因型</t>
    </r>
    <phoneticPr fontId="7" type="noConversion"/>
  </si>
  <si>
    <r>
      <rPr>
        <sz val="11"/>
        <color theme="1"/>
        <rFont val="宋体"/>
        <family val="3"/>
        <charset val="134"/>
      </rPr>
      <t>表型</t>
    </r>
    <phoneticPr fontId="7" type="noConversion"/>
  </si>
  <si>
    <r>
      <rPr>
        <sz val="11"/>
        <color theme="1"/>
        <rFont val="宋体"/>
        <family val="3"/>
        <charset val="134"/>
      </rPr>
      <t>圆</t>
    </r>
    <phoneticPr fontId="7" type="noConversion"/>
  </si>
  <si>
    <r>
      <rPr>
        <sz val="11"/>
        <color theme="1"/>
        <rFont val="宋体"/>
        <family val="3"/>
        <charset val="134"/>
      </rPr>
      <t>皱</t>
    </r>
    <phoneticPr fontId="7" type="noConversion"/>
  </si>
  <si>
    <r>
      <rPr>
        <sz val="11"/>
        <color theme="1"/>
        <rFont val="宋体"/>
        <family val="3"/>
        <charset val="134"/>
      </rPr>
      <t>黄、圆</t>
    </r>
    <phoneticPr fontId="7" type="noConversion"/>
  </si>
  <si>
    <r>
      <rPr>
        <sz val="11"/>
        <color theme="1"/>
        <rFont val="宋体"/>
        <family val="3"/>
        <charset val="134"/>
      </rPr>
      <t>黄</t>
    </r>
    <phoneticPr fontId="7" type="noConversion"/>
  </si>
  <si>
    <r>
      <rPr>
        <sz val="11"/>
        <color theme="1"/>
        <rFont val="宋体"/>
        <family val="3"/>
        <charset val="134"/>
      </rPr>
      <t>黄、皱</t>
    </r>
    <phoneticPr fontId="7" type="noConversion"/>
  </si>
  <si>
    <r>
      <rPr>
        <sz val="11"/>
        <color theme="1"/>
        <rFont val="宋体"/>
        <family val="3"/>
        <charset val="134"/>
      </rPr>
      <t>绿、圆</t>
    </r>
    <phoneticPr fontId="7" type="noConversion"/>
  </si>
  <si>
    <r>
      <rPr>
        <sz val="11"/>
        <color theme="1"/>
        <rFont val="宋体"/>
        <family val="3"/>
        <charset val="134"/>
      </rPr>
      <t>绿</t>
    </r>
    <phoneticPr fontId="7" type="noConversion"/>
  </si>
  <si>
    <r>
      <rPr>
        <sz val="11"/>
        <color theme="1"/>
        <rFont val="宋体"/>
        <family val="3"/>
        <charset val="134"/>
      </rPr>
      <t>绿、皱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</si>
  <si>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1.8</t>
    </r>
    <phoneticPr fontId="7" type="noConversion"/>
  </si>
  <si>
    <r>
      <rPr>
        <sz val="11"/>
        <color theme="1"/>
        <rFont val="宋体"/>
        <family val="3"/>
        <charset val="134"/>
      </rPr>
      <t>观测基因频率</t>
    </r>
    <phoneticPr fontId="7" type="noConversion"/>
  </si>
  <si>
    <r>
      <rPr>
        <sz val="11"/>
        <color theme="1"/>
        <rFont val="宋体"/>
        <family val="3"/>
        <charset val="134"/>
      </rPr>
      <t>观测基因型频率</t>
    </r>
    <phoneticPr fontId="7" type="noConversion"/>
  </si>
  <si>
    <r>
      <t>HWE</t>
    </r>
    <r>
      <rPr>
        <sz val="11"/>
        <color theme="1"/>
        <rFont val="宋体"/>
        <family val="3"/>
        <charset val="134"/>
      </rPr>
      <t>基因型频率</t>
    </r>
    <phoneticPr fontId="7" type="noConversion"/>
  </si>
  <si>
    <r>
      <rPr>
        <sz val="11"/>
        <color theme="1"/>
        <rFont val="宋体"/>
        <family val="3"/>
        <charset val="134"/>
      </rPr>
      <t>期望样本量</t>
    </r>
    <phoneticPr fontId="7" type="noConversion"/>
  </si>
  <si>
    <t>血型</t>
  </si>
  <si>
    <t>MM</t>
  </si>
  <si>
    <t>MN</t>
  </si>
  <si>
    <t>NN</t>
  </si>
  <si>
    <t>总人数</t>
  </si>
  <si>
    <t>p(M)</t>
    <phoneticPr fontId="7" type="noConversion"/>
  </si>
  <si>
    <t>p(N)</t>
    <phoneticPr fontId="7" type="noConversion"/>
  </si>
  <si>
    <t>p(MM)</t>
    <phoneticPr fontId="7" type="noConversion"/>
  </si>
  <si>
    <t>p(MN)</t>
    <phoneticPr fontId="7" type="noConversion"/>
  </si>
  <si>
    <t>p(NN)</t>
    <phoneticPr fontId="7" type="noConversion"/>
  </si>
  <si>
    <r>
      <rPr>
        <sz val="11"/>
        <color theme="1"/>
        <rFont val="宋体"/>
        <family val="3"/>
        <charset val="134"/>
      </rPr>
      <t>群体</t>
    </r>
    <r>
      <rPr>
        <sz val="10.5"/>
        <color rgb="FF000000"/>
        <rFont val="Times New Roman"/>
        <family val="1"/>
      </rPr>
      <t xml:space="preserve">I </t>
    </r>
    <phoneticPr fontId="7" type="noConversion"/>
  </si>
  <si>
    <r>
      <rPr>
        <sz val="11"/>
        <color theme="1"/>
        <rFont val="宋体"/>
        <family val="3"/>
        <charset val="134"/>
      </rPr>
      <t>群体</t>
    </r>
    <r>
      <rPr>
        <sz val="10.5"/>
        <color rgb="FF000000"/>
        <rFont val="Times New Roman"/>
        <family val="1"/>
      </rPr>
      <t xml:space="preserve">II </t>
    </r>
    <phoneticPr fontId="7" type="noConversion"/>
  </si>
  <si>
    <r>
      <rPr>
        <sz val="11"/>
        <color theme="1"/>
        <rFont val="宋体"/>
        <family val="3"/>
        <charset val="134"/>
      </rPr>
      <t>混合群体</t>
    </r>
    <phoneticPr fontId="7" type="noConversion"/>
  </si>
  <si>
    <r>
      <rPr>
        <sz val="11"/>
        <color theme="1"/>
        <rFont val="宋体"/>
        <family val="3"/>
        <charset val="134"/>
      </rPr>
      <t>不同结构的群体混合，能够引起不平衡，遗传研究中要尽量避免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</si>
  <si>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1.9</t>
    </r>
    <phoneticPr fontId="7" type="noConversion"/>
  </si>
  <si>
    <t>基因型</t>
  </si>
  <si>
    <t>AA</t>
  </si>
  <si>
    <t>AB</t>
  </si>
  <si>
    <t>BB</t>
  </si>
  <si>
    <t>AC</t>
  </si>
  <si>
    <t>BC</t>
  </si>
  <si>
    <t>CC</t>
  </si>
  <si>
    <t>p(A)</t>
    <phoneticPr fontId="7" type="noConversion"/>
  </si>
  <si>
    <t>p(B)</t>
    <phoneticPr fontId="7" type="noConversion"/>
  </si>
  <si>
    <t>p(C)</t>
    <phoneticPr fontId="7" type="noConversion"/>
  </si>
  <si>
    <r>
      <rPr>
        <sz val="11"/>
        <color theme="1"/>
        <rFont val="宋体"/>
        <family val="3"/>
        <charset val="134"/>
      </rPr>
      <t>频率</t>
    </r>
    <phoneticPr fontId="7" type="noConversion"/>
  </si>
  <si>
    <t>O</t>
    <phoneticPr fontId="7" type="noConversion"/>
  </si>
  <si>
    <t>E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</si>
  <si>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1.10</t>
    </r>
    <phoneticPr fontId="7" type="noConversion"/>
  </si>
  <si>
    <r>
      <rPr>
        <sz val="11"/>
        <color theme="1"/>
        <rFont val="宋体"/>
        <family val="3"/>
        <charset val="134"/>
      </rPr>
      <t>等位基因频率</t>
    </r>
    <phoneticPr fontId="7" type="noConversion"/>
  </si>
  <si>
    <r>
      <rPr>
        <sz val="11"/>
        <color theme="1"/>
        <rFont val="宋体"/>
        <family val="3"/>
        <charset val="134"/>
      </rPr>
      <t>基因型频率</t>
    </r>
    <phoneticPr fontId="7" type="noConversion"/>
  </si>
  <si>
    <r>
      <rPr>
        <sz val="11"/>
        <color theme="1"/>
        <rFont val="宋体"/>
        <family val="3"/>
        <charset val="134"/>
      </rPr>
      <t>表型频率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</si>
  <si>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A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</si>
  <si>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B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</si>
  <si>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O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</si>
  <si>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</si>
  <si>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</si>
  <si>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</si>
  <si>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</si>
  <si>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</si>
  <si>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I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>I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</t>
    </r>
    <phoneticPr fontId="7" type="noConversion"/>
  </si>
  <si>
    <t>A</t>
    <phoneticPr fontId="7" type="noConversion"/>
  </si>
  <si>
    <t>B</t>
    <phoneticPr fontId="7" type="noConversion"/>
  </si>
  <si>
    <t>AB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</si>
  <si>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1.11</t>
    </r>
    <phoneticPr fontId="7" type="noConversion"/>
  </si>
  <si>
    <t xml:space="preserve">A </t>
  </si>
  <si>
    <t xml:space="preserve">B </t>
  </si>
  <si>
    <t xml:space="preserve">AB </t>
  </si>
  <si>
    <t xml:space="preserve">O </t>
  </si>
  <si>
    <r>
      <rPr>
        <sz val="11"/>
        <color theme="1"/>
        <rFont val="宋体"/>
        <family val="3"/>
        <charset val="134"/>
      </rPr>
      <t>总样本量</t>
    </r>
    <phoneticPr fontId="7" type="noConversion"/>
  </si>
  <si>
    <t>人数</t>
  </si>
  <si>
    <r>
      <rPr>
        <sz val="11"/>
        <color theme="1"/>
        <rFont val="宋体"/>
        <family val="3"/>
        <charset val="134"/>
      </rPr>
      <t>血型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的基因型</t>
    </r>
    <phoneticPr fontId="7" type="noConversion"/>
  </si>
  <si>
    <r>
      <rPr>
        <sz val="11"/>
        <color theme="1"/>
        <rFont val="宋体"/>
        <family val="3"/>
        <charset val="134"/>
      </rPr>
      <t>血型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的基因型</t>
    </r>
    <phoneticPr fontId="7" type="noConversion"/>
  </si>
  <si>
    <r>
      <rPr>
        <sz val="11"/>
        <color theme="1"/>
        <rFont val="宋体"/>
        <family val="3"/>
        <charset val="134"/>
      </rPr>
      <t>血型</t>
    </r>
    <r>
      <rPr>
        <sz val="11"/>
        <color theme="1"/>
        <rFont val="Times New Roman"/>
        <family val="1"/>
      </rPr>
      <t>AB</t>
    </r>
    <phoneticPr fontId="7" type="noConversion"/>
  </si>
  <si>
    <r>
      <rPr>
        <sz val="11"/>
        <color theme="1"/>
        <rFont val="宋体"/>
        <family val="3"/>
        <charset val="134"/>
      </rPr>
      <t>血型</t>
    </r>
    <r>
      <rPr>
        <sz val="11"/>
        <color theme="1"/>
        <rFont val="Times New Roman"/>
        <family val="1"/>
      </rPr>
      <t>O</t>
    </r>
    <phoneticPr fontId="7" type="noConversion"/>
  </si>
  <si>
    <r>
      <rPr>
        <sz val="11"/>
        <color theme="1"/>
        <rFont val="宋体"/>
        <family val="3"/>
        <charset val="134"/>
      </rPr>
      <t>迭代次数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</si>
  <si>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1.12</t>
    </r>
    <phoneticPr fontId="7" type="noConversion"/>
  </si>
  <si>
    <r>
      <rPr>
        <sz val="11"/>
        <color theme="1"/>
        <rFont val="宋体"/>
        <family val="3"/>
        <charset val="134"/>
      </rPr>
      <t>行频率</t>
    </r>
    <phoneticPr fontId="7" type="noConversion"/>
  </si>
  <si>
    <r>
      <rPr>
        <sz val="11"/>
        <color theme="1"/>
        <rFont val="宋体"/>
        <family val="3"/>
        <charset val="134"/>
      </rPr>
      <t>期望频率</t>
    </r>
    <phoneticPr fontId="7" type="noConversion"/>
  </si>
  <si>
    <r>
      <rPr>
        <sz val="10.5"/>
        <color theme="1"/>
        <rFont val="宋体"/>
        <family val="3"/>
        <charset val="134"/>
      </rPr>
      <t>列频率</t>
    </r>
    <phoneticPr fontId="7" type="noConversion"/>
  </si>
  <si>
    <r>
      <rPr>
        <sz val="11"/>
        <color theme="1"/>
        <rFont val="宋体"/>
        <family val="3"/>
        <charset val="134"/>
      </rPr>
      <t>结论：两个性状之间无关联、控制性状的两个基因无连锁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</si>
  <si>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1.13</t>
    </r>
    <phoneticPr fontId="7" type="noConversion"/>
  </si>
  <si>
    <r>
      <rPr>
        <sz val="11"/>
        <color theme="1"/>
        <rFont val="宋体"/>
        <family val="3"/>
        <charset val="134"/>
      </rPr>
      <t>抗病</t>
    </r>
    <phoneticPr fontId="7" type="noConversion"/>
  </si>
  <si>
    <r>
      <rPr>
        <sz val="11"/>
        <color theme="1"/>
        <rFont val="宋体"/>
        <family val="3"/>
        <charset val="134"/>
      </rPr>
      <t>感病</t>
    </r>
    <phoneticPr fontId="7" type="noConversion"/>
  </si>
  <si>
    <t>H</t>
    <phoneticPr fontId="7" type="noConversion"/>
  </si>
  <si>
    <t xml:space="preserve">B </t>
    <phoneticPr fontId="7" type="noConversion"/>
  </si>
  <si>
    <t>结论：标记与抗病性状之间有极显著关联、控制性状的基因与标记存在连锁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</si>
  <si>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1.14</t>
    </r>
    <phoneticPr fontId="7" type="noConversion"/>
  </si>
  <si>
    <t>a</t>
    <phoneticPr fontId="7" type="noConversion"/>
  </si>
  <si>
    <r>
      <rPr>
        <sz val="11"/>
        <color theme="1"/>
        <rFont val="宋体"/>
        <family val="3"/>
        <charset val="134"/>
      </rPr>
      <t>发病比例</t>
    </r>
    <phoneticPr fontId="7" type="noConversion"/>
  </si>
  <si>
    <r>
      <rPr>
        <sz val="11"/>
        <color theme="1"/>
        <rFont val="宋体"/>
        <family val="3"/>
        <charset val="134"/>
      </rPr>
      <t>携带者比例</t>
    </r>
    <phoneticPr fontId="7" type="noConversion"/>
  </si>
  <si>
    <r>
      <rPr>
        <sz val="11"/>
        <color theme="1"/>
        <rFont val="宋体"/>
        <family val="3"/>
        <charset val="134"/>
      </rPr>
      <t>群体</t>
    </r>
    <r>
      <rPr>
        <sz val="11"/>
        <color theme="1"/>
        <rFont val="Times New Roman"/>
        <family val="1"/>
      </rPr>
      <t>I</t>
    </r>
    <phoneticPr fontId="7" type="noConversion"/>
  </si>
  <si>
    <r>
      <rPr>
        <sz val="11"/>
        <color theme="1"/>
        <rFont val="宋体"/>
        <family val="3"/>
        <charset val="134"/>
      </rPr>
      <t>群体</t>
    </r>
    <r>
      <rPr>
        <sz val="11"/>
        <color theme="1"/>
        <rFont val="Times New Roman"/>
        <family val="1"/>
      </rPr>
      <t>II</t>
    </r>
    <phoneticPr fontId="7" type="noConversion"/>
  </si>
  <si>
    <r>
      <t>1:1</t>
    </r>
    <r>
      <rPr>
        <sz val="11"/>
        <color theme="1"/>
        <rFont val="宋体"/>
        <family val="3"/>
        <charset val="134"/>
      </rPr>
      <t>混合群体</t>
    </r>
    <phoneticPr fontId="7" type="noConversion"/>
  </si>
  <si>
    <r>
      <rPr>
        <sz val="11"/>
        <color theme="1"/>
        <rFont val="宋体"/>
        <family val="3"/>
        <charset val="134"/>
      </rPr>
      <t>基因型频率之差</t>
    </r>
    <phoneticPr fontId="7" type="noConversion"/>
  </si>
  <si>
    <t>结论：由于两个群体具有不同的结构，混合后的群体不是HWE群体。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</si>
  <si>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1.15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</si>
  <si>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1.16</t>
    </r>
    <phoneticPr fontId="7" type="noConversion"/>
  </si>
  <si>
    <r>
      <rPr>
        <sz val="11"/>
        <color theme="1"/>
        <rFont val="宋体"/>
        <family val="3"/>
        <charset val="134"/>
      </rPr>
      <t>配子</t>
    </r>
    <phoneticPr fontId="7" type="noConversion"/>
  </si>
  <si>
    <t>Ab</t>
    <phoneticPr fontId="7" type="noConversion"/>
  </si>
  <si>
    <t>aB</t>
    <phoneticPr fontId="7" type="noConversion"/>
  </si>
  <si>
    <t>ab</t>
    <phoneticPr fontId="7" type="noConversion"/>
  </si>
  <si>
    <t>r</t>
    <phoneticPr fontId="7" type="noConversion"/>
  </si>
  <si>
    <r>
      <rPr>
        <sz val="11"/>
        <color theme="1"/>
        <rFont val="宋体"/>
        <family val="3"/>
        <charset val="134"/>
      </rPr>
      <t>随机交配代数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</si>
  <si>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1.17</t>
    </r>
    <phoneticPr fontId="7" type="noConversion"/>
  </si>
  <si>
    <t>利用期望、方差、协方差、相关系数的定义，不难推出</t>
    <phoneticPr fontId="7" type="noConversion"/>
  </si>
  <si>
    <t>X</t>
    <phoneticPr fontId="7" type="noConversion"/>
  </si>
  <si>
    <t>Y</t>
    <phoneticPr fontId="7" type="noConversion"/>
  </si>
  <si>
    <t>平衡频率</t>
    <phoneticPr fontId="7" type="noConversion"/>
  </si>
  <si>
    <t>观测样本</t>
    <phoneticPr fontId="7" type="noConversion"/>
  </si>
  <si>
    <t>期望样本</t>
    <phoneticPr fontId="7" type="noConversion"/>
  </si>
  <si>
    <r>
      <t>(O-E)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/E</t>
    </r>
    <phoneticPr fontId="7" type="noConversion"/>
  </si>
  <si>
    <t>b</t>
    <phoneticPr fontId="7" type="noConversion"/>
  </si>
  <si>
    <r>
      <rPr>
        <sz val="11"/>
        <color theme="1"/>
        <rFont val="宋体"/>
        <family val="3"/>
        <charset val="134"/>
      </rPr>
      <t>样本量</t>
    </r>
    <r>
      <rPr>
        <sz val="11"/>
        <color theme="1"/>
        <rFont val="Times New Roman"/>
        <family val="1"/>
      </rPr>
      <t>n</t>
    </r>
    <phoneticPr fontId="7" type="noConversion"/>
  </si>
  <si>
    <t>D</t>
    <phoneticPr fontId="7" type="noConversion"/>
  </si>
  <si>
    <t>定义计算</t>
    <phoneticPr fontId="7" type="noConversion"/>
  </si>
  <si>
    <t>验证</t>
    <phoneticPr fontId="7" type="noConversion"/>
  </si>
  <si>
    <t>(1)E(X)</t>
    <phoneticPr fontId="7" type="noConversion"/>
  </si>
  <si>
    <t>(1)V(X)</t>
    <phoneticPr fontId="7" type="noConversion"/>
  </si>
  <si>
    <t>(2)E(Y)</t>
    <phoneticPr fontId="7" type="noConversion"/>
  </si>
  <si>
    <t>(2)V(Y)</t>
    <phoneticPr fontId="7" type="noConversion"/>
  </si>
  <si>
    <t>(3)Cov(X,Y)</t>
    <phoneticPr fontId="7" type="noConversion"/>
  </si>
  <si>
    <r>
      <t>(4)Corr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(X,Y)</t>
    </r>
    <phoneticPr fontId="7" type="noConversion"/>
  </si>
  <si>
    <r>
      <t>(5)χ</t>
    </r>
    <r>
      <rPr>
        <vertAlign val="super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值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</si>
  <si>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2.1</t>
    </r>
    <phoneticPr fontId="7" type="noConversion"/>
  </si>
  <si>
    <t>u</t>
    <phoneticPr fontId="7" type="noConversion"/>
  </si>
  <si>
    <t>v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</si>
  <si>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2.2</t>
    </r>
    <phoneticPr fontId="7" type="noConversion"/>
  </si>
  <si>
    <t>aa=1/2000</t>
    <phoneticPr fontId="7" type="noConversion"/>
  </si>
  <si>
    <t>q0</t>
    <phoneticPr fontId="7" type="noConversion"/>
  </si>
  <si>
    <t>qt</t>
    <phoneticPr fontId="7" type="noConversion"/>
  </si>
  <si>
    <t>n=1/qn-1/q0</t>
    <phoneticPr fontId="7" type="noConversion"/>
  </si>
  <si>
    <r>
      <rPr>
        <sz val="11"/>
        <color theme="1"/>
        <rFont val="宋体"/>
        <family val="2"/>
      </rPr>
      <t>近似等于</t>
    </r>
    <r>
      <rPr>
        <sz val="11"/>
        <color theme="1"/>
        <rFont val="Times New Roman"/>
        <family val="1"/>
      </rPr>
      <t>45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</si>
  <si>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2.3</t>
    </r>
    <phoneticPr fontId="7" type="noConversion"/>
  </si>
  <si>
    <r>
      <rPr>
        <sz val="11"/>
        <color theme="1"/>
        <rFont val="宋体"/>
        <family val="2"/>
      </rPr>
      <t>迁移率</t>
    </r>
    <phoneticPr fontId="7" type="noConversion"/>
  </si>
  <si>
    <r>
      <rPr>
        <sz val="11"/>
        <color theme="1"/>
        <rFont val="宋体"/>
        <family val="2"/>
      </rPr>
      <t>世代</t>
    </r>
    <phoneticPr fontId="7" type="noConversion"/>
  </si>
  <si>
    <t>a</t>
    <phoneticPr fontId="7" type="noConversion"/>
  </si>
  <si>
    <t>A</t>
    <phoneticPr fontId="7" type="noConversion"/>
  </si>
  <si>
    <t>m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</si>
  <si>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2.4</t>
    </r>
    <phoneticPr fontId="7" type="noConversion"/>
  </si>
  <si>
    <r>
      <rPr>
        <sz val="11"/>
        <color theme="1"/>
        <rFont val="宋体"/>
        <family val="2"/>
      </rPr>
      <t>等位基因频率</t>
    </r>
    <phoneticPr fontId="7" type="noConversion"/>
  </si>
  <si>
    <r>
      <rPr>
        <sz val="11"/>
        <color theme="1"/>
        <rFont val="宋体"/>
        <family val="2"/>
      </rPr>
      <t>基因型期望频率</t>
    </r>
    <phoneticPr fontId="7" type="noConversion"/>
  </si>
  <si>
    <r>
      <rPr>
        <sz val="11"/>
        <color theme="1"/>
        <rFont val="宋体"/>
        <family val="2"/>
      </rPr>
      <t>期望样本量</t>
    </r>
    <phoneticPr fontId="7" type="noConversion"/>
  </si>
  <si>
    <r>
      <t>χ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</t>
    </r>
    <phoneticPr fontId="7" type="noConversion"/>
  </si>
  <si>
    <r>
      <t>P</t>
    </r>
    <r>
      <rPr>
        <sz val="11"/>
        <color theme="1"/>
        <rFont val="宋体"/>
        <family val="3"/>
        <charset val="134"/>
      </rPr>
      <t>值</t>
    </r>
    <phoneticPr fontId="7" type="noConversion"/>
  </si>
  <si>
    <t xml:space="preserve">AA </t>
  </si>
  <si>
    <t xml:space="preserve">AS </t>
  </si>
  <si>
    <t xml:space="preserve">SS </t>
  </si>
  <si>
    <t>S</t>
    <phoneticPr fontId="7" type="noConversion"/>
  </si>
  <si>
    <r>
      <rPr>
        <sz val="11"/>
        <color theme="1"/>
        <rFont val="宋体"/>
        <family val="2"/>
      </rPr>
      <t>婴儿群体</t>
    </r>
  </si>
  <si>
    <r>
      <rPr>
        <sz val="11"/>
        <color theme="1"/>
        <rFont val="宋体"/>
        <family val="2"/>
      </rPr>
      <t>成人群体</t>
    </r>
  </si>
  <si>
    <r>
      <rPr>
        <sz val="11"/>
        <color theme="1"/>
        <rFont val="宋体"/>
        <family val="3"/>
        <charset val="134"/>
      </rPr>
      <t>结论：纯合基因型</t>
    </r>
    <r>
      <rPr>
        <sz val="11"/>
        <color theme="1"/>
        <rFont val="Times New Roman"/>
        <family val="1"/>
      </rPr>
      <t>AA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SS</t>
    </r>
    <r>
      <rPr>
        <sz val="11"/>
        <color theme="1"/>
        <rFont val="宋体"/>
        <family val="3"/>
        <charset val="134"/>
      </rPr>
      <t>在成年前有较高的死亡率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</si>
  <si>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2.5</t>
    </r>
    <phoneticPr fontId="7" type="noConversion"/>
  </si>
  <si>
    <r>
      <rPr>
        <sz val="11"/>
        <color theme="1"/>
        <rFont val="宋体"/>
        <family val="3"/>
        <charset val="134"/>
      </rPr>
      <t>基因型</t>
    </r>
    <phoneticPr fontId="7" type="noConversion"/>
  </si>
  <si>
    <r>
      <rPr>
        <sz val="11"/>
        <color theme="1"/>
        <rFont val="宋体"/>
        <family val="3"/>
        <charset val="134"/>
      </rPr>
      <t>适合度</t>
    </r>
    <phoneticPr fontId="7" type="noConversion"/>
  </si>
  <si>
    <r>
      <rPr>
        <sz val="11"/>
        <color theme="1"/>
        <rFont val="宋体"/>
        <family val="3"/>
        <charset val="134"/>
      </rPr>
      <t>选择系数</t>
    </r>
    <phoneticPr fontId="7" type="noConversion"/>
  </si>
  <si>
    <r>
      <rPr>
        <sz val="11"/>
        <color theme="1"/>
        <rFont val="宋体"/>
        <family val="3"/>
        <charset val="134"/>
      </rPr>
      <t>配合基因频率</t>
    </r>
    <phoneticPr fontId="7" type="noConversion"/>
  </si>
  <si>
    <t>平衡基因型频率</t>
    <phoneticPr fontId="7" type="noConversion"/>
  </si>
  <si>
    <t>低于表2.1</t>
    <phoneticPr fontId="7" type="noConversion"/>
  </si>
  <si>
    <t>高于表2.1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</si>
  <si>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2.6</t>
    </r>
    <phoneticPr fontId="7" type="noConversion"/>
  </si>
  <si>
    <t>基因型</t>
    <phoneticPr fontId="7" type="noConversion"/>
  </si>
  <si>
    <t>选择前</t>
    <phoneticPr fontId="7" type="noConversion"/>
  </si>
  <si>
    <r>
      <t>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</t>
    </r>
    <phoneticPr fontId="7" type="noConversion"/>
  </si>
  <si>
    <t>2pq</t>
    <phoneticPr fontId="7" type="noConversion"/>
  </si>
  <si>
    <r>
      <t>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</t>
    </r>
    <phoneticPr fontId="7" type="noConversion"/>
  </si>
  <si>
    <t>适合度</t>
    <phoneticPr fontId="7" type="noConversion"/>
  </si>
  <si>
    <t>1-0.5s</t>
    <phoneticPr fontId="7" type="noConversion"/>
  </si>
  <si>
    <t>1-s</t>
    <phoneticPr fontId="7" type="noConversion"/>
  </si>
  <si>
    <t>选择后</t>
    <phoneticPr fontId="7" type="noConversion"/>
  </si>
  <si>
    <t>2pq(1-0.5s)</t>
    <phoneticPr fontId="7" type="noConversion"/>
  </si>
  <si>
    <r>
      <t>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(1-s)</t>
    </r>
    <phoneticPr fontId="7" type="noConversion"/>
  </si>
  <si>
    <t>1-qs</t>
    <phoneticPr fontId="7" type="noConversion"/>
  </si>
  <si>
    <t>q1</t>
    <phoneticPr fontId="7" type="noConversion"/>
  </si>
  <si>
    <r>
      <t>[q-sq/2-sq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/2]/(1-sq)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</si>
  <si>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2.7</t>
    </r>
    <phoneticPr fontId="7" type="noConversion"/>
  </si>
  <si>
    <t>s</t>
    <phoneticPr fontId="7" type="noConversion"/>
  </si>
  <si>
    <t>世代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</si>
  <si>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2.8</t>
    </r>
    <phoneticPr fontId="7" type="noConversion"/>
  </si>
  <si>
    <r>
      <t>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(1-s)</t>
    </r>
    <phoneticPr fontId="7" type="noConversion"/>
  </si>
  <si>
    <t>2pq(1-s)</t>
    <phoneticPr fontId="7" type="noConversion"/>
  </si>
  <si>
    <r>
      <t>q</t>
    </r>
    <r>
      <rPr>
        <vertAlign val="superscript"/>
        <sz val="11"/>
        <color theme="1"/>
        <rFont val="Times New Roman"/>
        <family val="1"/>
      </rPr>
      <t>2</t>
    </r>
    <phoneticPr fontId="7" type="noConversion"/>
  </si>
  <si>
    <r>
      <t>1-s(1-q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</si>
  <si>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2.9</t>
    </r>
    <phoneticPr fontId="7" type="noConversion"/>
  </si>
  <si>
    <r>
      <rPr>
        <sz val="11"/>
        <color theme="1"/>
        <rFont val="宋体"/>
        <family val="3"/>
        <charset val="134"/>
      </rPr>
      <t>配子型的频率</t>
    </r>
    <phoneticPr fontId="7" type="noConversion"/>
  </si>
  <si>
    <t>(1)LD</t>
    <phoneticPr fontId="7" type="noConversion"/>
  </si>
  <si>
    <t>(2)等位基因频率</t>
    <phoneticPr fontId="7" type="noConversion"/>
  </si>
  <si>
    <r>
      <t>(3)</t>
    </r>
    <r>
      <rPr>
        <sz val="11"/>
        <color theme="1"/>
        <rFont val="宋体"/>
        <family val="2"/>
      </rPr>
      <t>选择前</t>
    </r>
    <phoneticPr fontId="7" type="noConversion"/>
  </si>
  <si>
    <r>
      <rPr>
        <sz val="11"/>
        <color theme="1"/>
        <rFont val="宋体"/>
        <family val="2"/>
      </rPr>
      <t>选择系数</t>
    </r>
    <phoneticPr fontId="7" type="noConversion"/>
  </si>
  <si>
    <r>
      <rPr>
        <sz val="11"/>
        <color theme="1"/>
        <rFont val="宋体"/>
        <family val="2"/>
      </rPr>
      <t>选择后</t>
    </r>
    <phoneticPr fontId="7" type="noConversion"/>
  </si>
  <si>
    <r>
      <t>(4)</t>
    </r>
    <r>
      <rPr>
        <sz val="11"/>
        <color theme="1"/>
        <rFont val="宋体"/>
        <family val="2"/>
      </rPr>
      <t>标准化频率</t>
    </r>
    <phoneticPr fontId="7" type="noConversion"/>
  </si>
  <si>
    <t>(5)选择后等位基因频率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</si>
  <si>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</si>
  <si>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</si>
  <si>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</si>
  <si>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</si>
  <si>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</si>
  <si>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</si>
  <si>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</si>
  <si>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</si>
  <si>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</si>
  <si>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2.10</t>
    </r>
    <phoneticPr fontId="7" type="noConversion"/>
  </si>
  <si>
    <r>
      <rPr>
        <sz val="11"/>
        <color theme="1"/>
        <rFont val="宋体"/>
        <family val="3"/>
        <charset val="134"/>
      </rPr>
      <t>配子型的频率</t>
    </r>
    <phoneticPr fontId="7" type="noConversion"/>
  </si>
  <si>
    <t>(1)LD</t>
    <phoneticPr fontId="7" type="noConversion"/>
  </si>
  <si>
    <t>(2)等位基因频率</t>
    <phoneticPr fontId="7" type="noConversion"/>
  </si>
  <si>
    <t>AB</t>
    <phoneticPr fontId="7" type="noConversion"/>
  </si>
  <si>
    <t>Ab</t>
    <phoneticPr fontId="7" type="noConversion"/>
  </si>
  <si>
    <t>aB</t>
    <phoneticPr fontId="7" type="noConversion"/>
  </si>
  <si>
    <t>ab</t>
    <phoneticPr fontId="7" type="noConversion"/>
  </si>
  <si>
    <t>B</t>
    <phoneticPr fontId="7" type="noConversion"/>
  </si>
  <si>
    <t>b</t>
    <phoneticPr fontId="7" type="noConversion"/>
  </si>
  <si>
    <r>
      <t>(3)</t>
    </r>
    <r>
      <rPr>
        <sz val="11"/>
        <color theme="1"/>
        <rFont val="宋体"/>
        <family val="2"/>
      </rPr>
      <t>选择前</t>
    </r>
    <phoneticPr fontId="7" type="noConversion"/>
  </si>
  <si>
    <r>
      <rPr>
        <sz val="11"/>
        <color theme="1"/>
        <rFont val="宋体"/>
        <family val="2"/>
      </rPr>
      <t>选择系数</t>
    </r>
    <phoneticPr fontId="7" type="noConversion"/>
  </si>
  <si>
    <r>
      <rPr>
        <sz val="11"/>
        <color theme="1"/>
        <rFont val="宋体"/>
        <family val="2"/>
      </rPr>
      <t>选择后</t>
    </r>
    <phoneticPr fontId="7" type="noConversion"/>
  </si>
  <si>
    <r>
      <t>(4)</t>
    </r>
    <r>
      <rPr>
        <sz val="11"/>
        <color theme="1"/>
        <rFont val="宋体"/>
        <family val="2"/>
      </rPr>
      <t>标准化频率</t>
    </r>
    <phoneticPr fontId="7" type="noConversion"/>
  </si>
  <si>
    <t>(5)选择后等位基因频率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</si>
  <si>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</si>
  <si>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</si>
  <si>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</si>
  <si>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2.11</t>
    </r>
    <phoneticPr fontId="7" type="noConversion"/>
  </si>
  <si>
    <r>
      <rPr>
        <sz val="11"/>
        <color theme="1"/>
        <rFont val="宋体"/>
        <family val="2"/>
      </rPr>
      <t>亲代数</t>
    </r>
    <phoneticPr fontId="7" type="noConversion"/>
  </si>
  <si>
    <r>
      <rPr>
        <sz val="11"/>
        <color theme="1"/>
        <rFont val="宋体"/>
        <family val="2"/>
      </rPr>
      <t>后代数</t>
    </r>
    <phoneticPr fontId="7" type="noConversion"/>
  </si>
  <si>
    <r>
      <rPr>
        <sz val="11"/>
        <color theme="1"/>
        <rFont val="宋体"/>
        <family val="2"/>
      </rPr>
      <t>适合度</t>
    </r>
    <phoneticPr fontId="7" type="noConversion"/>
  </si>
  <si>
    <t>(1)相对适合度</t>
    <phoneticPr fontId="7" type="noConversion"/>
  </si>
  <si>
    <r>
      <t>(1)</t>
    </r>
    <r>
      <rPr>
        <sz val="11"/>
        <color theme="1"/>
        <rFont val="宋体"/>
        <family val="2"/>
      </rPr>
      <t>选择系数</t>
    </r>
    <phoneticPr fontId="7" type="noConversion"/>
  </si>
  <si>
    <r>
      <t>(2)</t>
    </r>
    <r>
      <rPr>
        <sz val="11"/>
        <color theme="1"/>
        <rFont val="宋体"/>
        <family val="3"/>
        <charset val="134"/>
      </rPr>
      <t>选择后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的频率</t>
    </r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</si>
  <si>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2.12</t>
    </r>
    <phoneticPr fontId="7" type="noConversion"/>
  </si>
  <si>
    <r>
      <rPr>
        <sz val="11"/>
        <color theme="1"/>
        <rFont val="宋体"/>
        <family val="2"/>
      </rPr>
      <t>座位</t>
    </r>
    <r>
      <rPr>
        <sz val="11"/>
        <color theme="1"/>
        <rFont val="Times New Roman"/>
        <family val="1"/>
      </rPr>
      <t>A</t>
    </r>
    <phoneticPr fontId="7" type="noConversion"/>
  </si>
  <si>
    <r>
      <rPr>
        <sz val="11"/>
        <color theme="1"/>
        <rFont val="宋体"/>
        <family val="2"/>
      </rPr>
      <t>座位</t>
    </r>
    <r>
      <rPr>
        <sz val="11"/>
        <color theme="1"/>
        <rFont val="Times New Roman"/>
        <family val="1"/>
      </rPr>
      <t>B</t>
    </r>
    <phoneticPr fontId="7" type="noConversion"/>
  </si>
  <si>
    <r>
      <rPr>
        <sz val="11"/>
        <color theme="1"/>
        <rFont val="宋体"/>
        <family val="2"/>
      </rPr>
      <t>座位</t>
    </r>
    <r>
      <rPr>
        <sz val="11"/>
        <color theme="1"/>
        <rFont val="Times New Roman"/>
        <family val="1"/>
      </rPr>
      <t>C</t>
    </r>
    <phoneticPr fontId="7" type="noConversion"/>
  </si>
  <si>
    <r>
      <rPr>
        <sz val="11"/>
        <color theme="1"/>
        <rFont val="宋体"/>
        <family val="2"/>
      </rPr>
      <t>频率</t>
    </r>
    <phoneticPr fontId="7" type="noConversion"/>
  </si>
  <si>
    <t>A1</t>
    <phoneticPr fontId="7" type="noConversion"/>
  </si>
  <si>
    <t>B1</t>
    <phoneticPr fontId="7" type="noConversion"/>
  </si>
  <si>
    <t>C1</t>
    <phoneticPr fontId="7" type="noConversion"/>
  </si>
  <si>
    <t>C2</t>
    <phoneticPr fontId="7" type="noConversion"/>
  </si>
  <si>
    <t>A2</t>
    <phoneticPr fontId="7" type="noConversion"/>
  </si>
  <si>
    <t>B2</t>
    <phoneticPr fontId="7" type="noConversion"/>
  </si>
  <si>
    <t>B3</t>
    <phoneticPr fontId="7" type="noConversion"/>
  </si>
  <si>
    <r>
      <rPr>
        <sz val="11"/>
        <color theme="1"/>
        <rFont val="宋体"/>
        <family val="2"/>
      </rPr>
      <t>练习</t>
    </r>
    <r>
      <rPr>
        <sz val="11"/>
        <color theme="1"/>
        <rFont val="Times New Roman"/>
        <family val="1"/>
      </rPr>
      <t>2.13</t>
    </r>
    <phoneticPr fontId="7" type="noConversion"/>
  </si>
  <si>
    <r>
      <rPr>
        <sz val="11"/>
        <color theme="1"/>
        <rFont val="宋体"/>
        <family val="2"/>
      </rPr>
      <t>选择前</t>
    </r>
    <phoneticPr fontId="7" type="noConversion"/>
  </si>
  <si>
    <r>
      <t>p</t>
    </r>
    <r>
      <rPr>
        <vertAlign val="superscript"/>
        <sz val="11"/>
        <color theme="1"/>
        <rFont val="Times New Roman"/>
        <family val="1"/>
      </rPr>
      <t>2</t>
    </r>
    <phoneticPr fontId="7" type="noConversion"/>
  </si>
  <si>
    <r>
      <t>0.5q</t>
    </r>
    <r>
      <rPr>
        <vertAlign val="superscript"/>
        <sz val="11"/>
        <color theme="1"/>
        <rFont val="Times New Roman"/>
        <family val="1"/>
      </rPr>
      <t>2</t>
    </r>
    <phoneticPr fontId="7" type="noConversion"/>
  </si>
  <si>
    <r>
      <t>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+0.5q</t>
    </r>
    <r>
      <rPr>
        <vertAlign val="superscript"/>
        <sz val="11"/>
        <color theme="1"/>
        <rFont val="Times New Roman"/>
        <family val="1"/>
      </rPr>
      <t>2</t>
    </r>
    <phoneticPr fontId="7" type="noConversion"/>
  </si>
  <si>
    <r>
      <rPr>
        <sz val="11"/>
        <color theme="1"/>
        <rFont val="宋体"/>
        <family val="2"/>
      </rPr>
      <t>选择后频率</t>
    </r>
    <phoneticPr fontId="7" type="noConversion"/>
  </si>
  <si>
    <r>
      <t>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/(p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+0.5q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</t>
    </r>
    <phoneticPr fontId="7" type="noConversion"/>
  </si>
  <si>
    <r>
      <rPr>
        <sz val="11"/>
        <color theme="1"/>
        <rFont val="宋体"/>
        <family val="2"/>
      </rPr>
      <t>频率变化量</t>
    </r>
    <phoneticPr fontId="7" type="noConversion"/>
  </si>
  <si>
    <r>
      <rPr>
        <sz val="11"/>
        <color theme="1"/>
        <rFont val="宋体"/>
        <family val="2"/>
      </rPr>
      <t>平衡点</t>
    </r>
    <phoneticPr fontId="7" type="noConversion"/>
  </si>
  <si>
    <t>p=1/3</t>
    <phoneticPr fontId="7" type="noConversion"/>
  </si>
  <si>
    <t>p=0</t>
    <phoneticPr fontId="7" type="noConversion"/>
  </si>
  <si>
    <t>p=1</t>
    <phoneticPr fontId="7" type="noConversion"/>
  </si>
  <si>
    <r>
      <rPr>
        <sz val="11"/>
        <color theme="1"/>
        <rFont val="宋体"/>
        <family val="2"/>
      </rPr>
      <t>不稳定</t>
    </r>
    <phoneticPr fontId="7" type="noConversion"/>
  </si>
  <si>
    <r>
      <rPr>
        <sz val="11"/>
        <color theme="1"/>
        <rFont val="宋体"/>
        <family val="2"/>
      </rPr>
      <t>稳定</t>
    </r>
    <phoneticPr fontId="7" type="noConversion"/>
  </si>
  <si>
    <t xml:space="preserve">练习3.1 </t>
    <phoneticPr fontId="7" type="noConversion"/>
  </si>
  <si>
    <t>A</t>
    <phoneticPr fontId="7" type="noConversion"/>
  </si>
  <si>
    <t>a</t>
    <phoneticPr fontId="7" type="noConversion"/>
  </si>
  <si>
    <t>X</t>
    <phoneticPr fontId="7" type="noConversion"/>
  </si>
  <si>
    <t>n-X</t>
    <phoneticPr fontId="7" type="noConversion"/>
  </si>
  <si>
    <t>(1)B(10,0.8)</t>
    <phoneticPr fontId="7" type="noConversion"/>
  </si>
  <si>
    <t>(2)柱形图</t>
    <phoneticPr fontId="7" type="noConversion"/>
  </si>
  <si>
    <t>（3）两个概率</t>
    <phoneticPr fontId="7" type="noConversion"/>
  </si>
  <si>
    <t xml:space="preserve">（4）验证 </t>
    <phoneticPr fontId="7" type="noConversion"/>
  </si>
  <si>
    <t>V</t>
    <phoneticPr fontId="7" type="noConversion"/>
  </si>
  <si>
    <t>Cov</t>
    <phoneticPr fontId="7" type="noConversion"/>
  </si>
  <si>
    <t>练习3.2</t>
    <phoneticPr fontId="7" type="noConversion"/>
  </si>
  <si>
    <t>N</t>
    <phoneticPr fontId="7" type="noConversion"/>
  </si>
  <si>
    <t>2N</t>
    <phoneticPr fontId="7" type="noConversion"/>
  </si>
  <si>
    <t>k</t>
    <phoneticPr fontId="7" type="noConversion"/>
  </si>
  <si>
    <t>SE(p)</t>
    <phoneticPr fontId="7" type="noConversion"/>
  </si>
  <si>
    <t>练习3.3</t>
    <phoneticPr fontId="7" type="noConversion"/>
  </si>
  <si>
    <t>N</t>
    <phoneticPr fontId="7" type="noConversion"/>
  </si>
  <si>
    <t>p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</si>
  <si>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</si>
  <si>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</si>
  <si>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</si>
  <si>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AA=0</t>
    <phoneticPr fontId="7" type="noConversion"/>
  </si>
  <si>
    <t>Aa=0</t>
    <phoneticPr fontId="7" type="noConversion"/>
  </si>
  <si>
    <t>aa=0</t>
    <phoneticPr fontId="7" type="noConversion"/>
  </si>
  <si>
    <t>练习3.4</t>
    <phoneticPr fontId="7" type="noConversion"/>
  </si>
  <si>
    <t>略</t>
    <phoneticPr fontId="7" type="noConversion"/>
  </si>
  <si>
    <t>练习3.5</t>
    <phoneticPr fontId="7" type="noConversion"/>
  </si>
  <si>
    <t>红花</t>
    <phoneticPr fontId="7" type="noConversion"/>
  </si>
  <si>
    <t>白花</t>
    <phoneticPr fontId="7" type="noConversion"/>
  </si>
  <si>
    <t>红花频率估计</t>
    <phoneticPr fontId="7" type="noConversion"/>
  </si>
  <si>
    <t>标准差</t>
    <phoneticPr fontId="7" type="noConversion"/>
  </si>
  <si>
    <t>观测值</t>
    <phoneticPr fontId="7" type="noConversion"/>
  </si>
  <si>
    <t>期望值</t>
    <phoneticPr fontId="7" type="noConversion"/>
  </si>
  <si>
    <t>Chi-sq</t>
    <phoneticPr fontId="7" type="noConversion"/>
  </si>
  <si>
    <t>P-value</t>
    <phoneticPr fontId="7" type="noConversion"/>
  </si>
  <si>
    <t>(O-E)^2/E</t>
    <phoneticPr fontId="7" type="noConversion"/>
  </si>
  <si>
    <t>(|O-E|-0.5)^2/E</t>
    <phoneticPr fontId="7" type="noConversion"/>
  </si>
  <si>
    <t>红花</t>
    <phoneticPr fontId="7" type="noConversion"/>
  </si>
  <si>
    <t>白花</t>
    <phoneticPr fontId="7" type="noConversion"/>
  </si>
  <si>
    <t>概率</t>
    <phoneticPr fontId="7" type="noConversion"/>
  </si>
  <si>
    <t>红花</t>
  </si>
  <si>
    <t>白花</t>
  </si>
  <si>
    <t>累积概率</t>
    <phoneticPr fontId="7" type="noConversion"/>
  </si>
  <si>
    <t>可能值</t>
    <phoneticPr fontId="7" type="noConversion"/>
  </si>
  <si>
    <t>可能值</t>
  </si>
  <si>
    <t>练习3.6</t>
    <phoneticPr fontId="7" type="noConversion"/>
  </si>
  <si>
    <t>HWE精确检验</t>
    <phoneticPr fontId="7" type="noConversion"/>
  </si>
  <si>
    <t>标准差</t>
    <phoneticPr fontId="7" type="noConversion"/>
  </si>
  <si>
    <t>观测值</t>
    <phoneticPr fontId="7" type="noConversion"/>
  </si>
  <si>
    <t>期望频率</t>
    <phoneticPr fontId="7" type="noConversion"/>
  </si>
  <si>
    <t>期望值</t>
    <phoneticPr fontId="7" type="noConversion"/>
  </si>
  <si>
    <t>Chi-sq</t>
    <phoneticPr fontId="7" type="noConversion"/>
  </si>
  <si>
    <t>P-value</t>
    <phoneticPr fontId="7" type="noConversion"/>
  </si>
  <si>
    <t>(O-E)^2/E</t>
    <phoneticPr fontId="7" type="noConversion"/>
  </si>
  <si>
    <t>取值概率</t>
    <phoneticPr fontId="7" type="noConversion"/>
  </si>
  <si>
    <t>Aa</t>
  </si>
  <si>
    <t>aa</t>
  </si>
  <si>
    <t>取值概率</t>
  </si>
  <si>
    <t>练习3.7</t>
    <phoneticPr fontId="7" type="noConversion"/>
  </si>
  <si>
    <t>t</t>
    <phoneticPr fontId="7" type="noConversion"/>
  </si>
  <si>
    <t>丢失概率</t>
    <phoneticPr fontId="7" type="noConversion"/>
  </si>
  <si>
    <t>练习3.8</t>
    <phoneticPr fontId="7" type="noConversion"/>
  </si>
  <si>
    <t>n</t>
    <phoneticPr fontId="7" type="noConversion"/>
  </si>
  <si>
    <r>
      <rPr>
        <sz val="11"/>
        <color theme="1"/>
        <rFont val="宋体"/>
        <family val="3"/>
        <charset val="134"/>
      </rPr>
      <t>λ</t>
    </r>
    <r>
      <rPr>
        <sz val="11"/>
        <color theme="1"/>
        <rFont val="宋体"/>
        <family val="2"/>
      </rPr>
      <t>=</t>
    </r>
    <r>
      <rPr>
        <sz val="11"/>
        <color theme="1"/>
        <rFont val="宋体"/>
        <family val="2"/>
        <scheme val="minor"/>
      </rPr>
      <t>np</t>
    </r>
    <phoneticPr fontId="7" type="noConversion"/>
  </si>
  <si>
    <t>P(X)</t>
    <phoneticPr fontId="7" type="noConversion"/>
  </si>
  <si>
    <t>练习3.9</t>
    <phoneticPr fontId="7" type="noConversion"/>
  </si>
  <si>
    <r>
      <t>（1）F</t>
    </r>
    <r>
      <rPr>
        <vertAlign val="subscript"/>
        <sz val="11"/>
        <color theme="1"/>
        <rFont val="宋体"/>
        <family val="3"/>
        <charset val="134"/>
        <scheme val="minor"/>
      </rPr>
      <t>01</t>
    </r>
    <r>
      <rPr>
        <sz val="11"/>
        <color theme="1"/>
        <rFont val="宋体"/>
        <family val="2"/>
        <scheme val="minor"/>
      </rPr>
      <t>=F</t>
    </r>
    <r>
      <rPr>
        <vertAlign val="subscript"/>
        <sz val="11"/>
        <color theme="1"/>
        <rFont val="宋体"/>
        <family val="3"/>
        <charset val="134"/>
        <scheme val="minor"/>
      </rPr>
      <t>02</t>
    </r>
    <r>
      <rPr>
        <sz val="11"/>
        <color theme="1"/>
        <rFont val="宋体"/>
        <family val="2"/>
        <scheme val="minor"/>
      </rPr>
      <t>=F</t>
    </r>
    <r>
      <rPr>
        <vertAlign val="subscript"/>
        <sz val="11"/>
        <color theme="1"/>
        <rFont val="宋体"/>
        <family val="3"/>
        <charset val="134"/>
        <scheme val="minor"/>
      </rPr>
      <t>03</t>
    </r>
    <r>
      <rPr>
        <sz val="11"/>
        <color theme="1"/>
        <rFont val="宋体"/>
        <family val="2"/>
        <scheme val="minor"/>
      </rPr>
      <t>=0</t>
    </r>
    <phoneticPr fontId="7" type="noConversion"/>
  </si>
  <si>
    <t>（2）个体11、12、13的两个基因都不是后裔同样</t>
    <phoneticPr fontId="7" type="noConversion"/>
  </si>
  <si>
    <r>
      <t>（3）f</t>
    </r>
    <r>
      <rPr>
        <vertAlign val="subscript"/>
        <sz val="11"/>
        <color theme="1"/>
        <rFont val="宋体"/>
        <family val="3"/>
        <charset val="134"/>
        <scheme val="minor"/>
      </rPr>
      <t>11,12</t>
    </r>
    <r>
      <rPr>
        <sz val="11"/>
        <color theme="1"/>
        <rFont val="宋体"/>
        <family val="2"/>
        <scheme val="minor"/>
      </rPr>
      <t>=0.5; f</t>
    </r>
    <r>
      <rPr>
        <vertAlign val="subscript"/>
        <sz val="11"/>
        <color theme="1"/>
        <rFont val="宋体"/>
        <family val="3"/>
        <charset val="134"/>
        <scheme val="minor"/>
      </rPr>
      <t>11,13</t>
    </r>
    <r>
      <rPr>
        <sz val="11"/>
        <color theme="1"/>
        <rFont val="宋体"/>
        <family val="2"/>
        <scheme val="minor"/>
      </rPr>
      <t>=0; f</t>
    </r>
    <r>
      <rPr>
        <vertAlign val="subscript"/>
        <sz val="11"/>
        <color theme="1"/>
        <rFont val="宋体"/>
        <family val="3"/>
        <charset val="134"/>
        <scheme val="minor"/>
      </rPr>
      <t>12,13</t>
    </r>
    <r>
      <rPr>
        <sz val="11"/>
        <color theme="1"/>
        <rFont val="宋体"/>
        <family val="2"/>
        <scheme val="minor"/>
      </rPr>
      <t xml:space="preserve">=0 </t>
    </r>
    <phoneticPr fontId="7" type="noConversion"/>
  </si>
  <si>
    <t>（4）个体21的两个基因后裔同样;个体22、23的两个基因都不是后裔同样</t>
    <phoneticPr fontId="7" type="noConversion"/>
  </si>
  <si>
    <t>练习3.10</t>
    <phoneticPr fontId="7" type="noConversion"/>
  </si>
  <si>
    <t>N=2,p0=0.7</t>
    <phoneticPr fontId="7" type="noConversion"/>
  </si>
  <si>
    <t>（1）转移矩阵</t>
    <phoneticPr fontId="7" type="noConversion"/>
  </si>
  <si>
    <t>（2）世代0</t>
    <phoneticPr fontId="7" type="noConversion"/>
  </si>
  <si>
    <t>世代1</t>
    <phoneticPr fontId="7" type="noConversion"/>
  </si>
  <si>
    <t>世代2</t>
  </si>
  <si>
    <t>世代3</t>
  </si>
  <si>
    <t>世代4</t>
  </si>
  <si>
    <t>世代5</t>
  </si>
  <si>
    <t>世代6</t>
  </si>
  <si>
    <t>世代7</t>
  </si>
  <si>
    <t>世代8</t>
  </si>
  <si>
    <t>世代9</t>
  </si>
  <si>
    <t>（3）世代10</t>
    <phoneticPr fontId="7" type="noConversion"/>
  </si>
  <si>
    <t>（4）亚群体数</t>
    <phoneticPr fontId="7" type="noConversion"/>
  </si>
  <si>
    <t>A频率</t>
    <phoneticPr fontId="7" type="noConversion"/>
  </si>
  <si>
    <t>（5）频率均值</t>
    <phoneticPr fontId="7" type="noConversion"/>
  </si>
  <si>
    <t>（5）频率方差</t>
    <phoneticPr fontId="7" type="noConversion"/>
  </si>
  <si>
    <t>练习3.11</t>
    <phoneticPr fontId="7" type="noConversion"/>
  </si>
  <si>
    <t>比例</t>
    <phoneticPr fontId="7" type="noConversion"/>
  </si>
  <si>
    <t>A固定</t>
    <phoneticPr fontId="7" type="noConversion"/>
  </si>
  <si>
    <t>频率的均值=1*p+0*q=p</t>
    <phoneticPr fontId="7" type="noConversion"/>
  </si>
  <si>
    <t>A丢失</t>
    <phoneticPr fontId="7" type="noConversion"/>
  </si>
  <si>
    <r>
      <t>频率的方差=1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*p+0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*q-均值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=p-p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=pq</t>
    </r>
    <phoneticPr fontId="7" type="noConversion"/>
  </si>
  <si>
    <t>练习3.12</t>
    <phoneticPr fontId="7" type="noConversion"/>
  </si>
  <si>
    <t>1.基础群体基因型频率</t>
    <phoneticPr fontId="7" type="noConversion"/>
  </si>
  <si>
    <t>3.混合群体基因型频率</t>
    <phoneticPr fontId="7" type="noConversion"/>
  </si>
  <si>
    <t>p0</t>
    <phoneticPr fontId="7" type="noConversion"/>
  </si>
  <si>
    <t>q0</t>
    <phoneticPr fontId="7" type="noConversion"/>
  </si>
  <si>
    <t>2.Ft</t>
    <phoneticPr fontId="7" type="noConversion"/>
  </si>
  <si>
    <t>4.百分数</t>
    <phoneticPr fontId="7" type="noConversion"/>
  </si>
  <si>
    <t>5.基因频率的方差</t>
    <phoneticPr fontId="7" type="noConversion"/>
  </si>
  <si>
    <t>练习3.13</t>
    <phoneticPr fontId="7" type="noConversion"/>
  </si>
  <si>
    <t>H0</t>
    <phoneticPr fontId="7" type="noConversion"/>
  </si>
  <si>
    <t>F</t>
    <phoneticPr fontId="7" type="noConversion"/>
  </si>
  <si>
    <t>练习3.14</t>
    <phoneticPr fontId="7" type="noConversion"/>
  </si>
  <si>
    <t>混合比例</t>
    <phoneticPr fontId="7" type="noConversion"/>
  </si>
  <si>
    <t>群体1</t>
    <phoneticPr fontId="7" type="noConversion"/>
  </si>
  <si>
    <t>群体2</t>
  </si>
  <si>
    <t>1:3混合群体</t>
    <phoneticPr fontId="7" type="noConversion"/>
  </si>
  <si>
    <t>HW平衡频率</t>
    <phoneticPr fontId="7" type="noConversion"/>
  </si>
  <si>
    <t>Fst</t>
    <phoneticPr fontId="7" type="noConversion"/>
  </si>
  <si>
    <t>频率方差</t>
    <phoneticPr fontId="7" type="noConversion"/>
  </si>
  <si>
    <t>Vq=pqF</t>
    <phoneticPr fontId="7" type="noConversion"/>
  </si>
  <si>
    <t>练习4.1</t>
    <phoneticPr fontId="7" type="noConversion"/>
  </si>
  <si>
    <t>家系</t>
    <phoneticPr fontId="7" type="noConversion"/>
  </si>
  <si>
    <t>等位基因频率</t>
    <phoneticPr fontId="7" type="noConversion"/>
  </si>
  <si>
    <t>杂合度</t>
    <phoneticPr fontId="7" type="noConversion"/>
  </si>
  <si>
    <t>平均</t>
    <phoneticPr fontId="7" type="noConversion"/>
  </si>
  <si>
    <t>方差</t>
    <phoneticPr fontId="7" type="noConversion"/>
  </si>
  <si>
    <t>F</t>
    <phoneticPr fontId="7" type="noConversion"/>
  </si>
  <si>
    <t>t</t>
    <phoneticPr fontId="7" type="noConversion"/>
  </si>
  <si>
    <t>ΔF=1-(1-F)^1/t</t>
    <phoneticPr fontId="7" type="noConversion"/>
  </si>
  <si>
    <t>Ne=1/2ΔF</t>
    <phoneticPr fontId="7" type="noConversion"/>
  </si>
  <si>
    <t>练习4.2</t>
    <phoneticPr fontId="7" type="noConversion"/>
  </si>
  <si>
    <t>世代</t>
    <phoneticPr fontId="7" type="noConversion"/>
  </si>
  <si>
    <t>N</t>
    <phoneticPr fontId="7" type="noConversion"/>
  </si>
  <si>
    <t>1/N</t>
    <phoneticPr fontId="7" type="noConversion"/>
  </si>
  <si>
    <t>Ne=</t>
    <phoneticPr fontId="7" type="noConversion"/>
  </si>
  <si>
    <t>练习4.3</t>
    <phoneticPr fontId="7" type="noConversion"/>
  </si>
  <si>
    <t>A</t>
    <phoneticPr fontId="7" type="noConversion"/>
  </si>
  <si>
    <t>a</t>
    <phoneticPr fontId="7" type="noConversion"/>
  </si>
  <si>
    <t>Nm</t>
    <phoneticPr fontId="7" type="noConversion"/>
  </si>
  <si>
    <t>Nf</t>
    <phoneticPr fontId="7" type="noConversion"/>
  </si>
  <si>
    <t>(2)基因频率</t>
    <phoneticPr fontId="7" type="noConversion"/>
  </si>
  <si>
    <t>(2)基因型频率</t>
    <phoneticPr fontId="7" type="noConversion"/>
  </si>
  <si>
    <t>Ne</t>
    <phoneticPr fontId="7" type="noConversion"/>
  </si>
  <si>
    <r>
      <rPr>
        <sz val="11"/>
        <color theme="1"/>
        <rFont val="宋体"/>
        <family val="3"/>
        <charset val="134"/>
      </rPr>
      <t>Δ</t>
    </r>
    <r>
      <rPr>
        <sz val="11"/>
        <color theme="1"/>
        <rFont val="宋体"/>
        <family val="2"/>
      </rPr>
      <t>F</t>
    </r>
    <phoneticPr fontId="7" type="noConversion"/>
  </si>
  <si>
    <t>(1)F10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</si>
  <si>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</si>
  <si>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</si>
  <si>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</si>
  <si>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(3)=F10*100</t>
    <phoneticPr fontId="7" type="noConversion"/>
  </si>
  <si>
    <t>(4)=pqF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</si>
  <si>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4.4</t>
    </r>
    <phoneticPr fontId="7" type="noConversion"/>
  </si>
  <si>
    <t>F6</t>
    <phoneticPr fontId="7" type="noConversion"/>
  </si>
  <si>
    <t>F7</t>
    <phoneticPr fontId="7" type="noConversion"/>
  </si>
  <si>
    <t>F8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</si>
  <si>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4.5</t>
    </r>
    <phoneticPr fontId="7" type="noConversion"/>
  </si>
  <si>
    <t>半同胞交配</t>
    <phoneticPr fontId="7" type="noConversion"/>
  </si>
  <si>
    <t>p</t>
    <phoneticPr fontId="7" type="noConversion"/>
  </si>
  <si>
    <t>q</t>
    <phoneticPr fontId="7" type="noConversion"/>
  </si>
  <si>
    <r>
      <t>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</si>
  <si>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ΔF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</si>
  <si>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4.6</t>
    </r>
    <phoneticPr fontId="7" type="noConversion"/>
  </si>
  <si>
    <t>C</t>
    <phoneticPr fontId="7" type="noConversion"/>
  </si>
  <si>
    <t>S</t>
    <phoneticPr fontId="7" type="noConversion"/>
  </si>
  <si>
    <t>r</t>
    <phoneticPr fontId="7" type="noConversion"/>
  </si>
  <si>
    <t>2pq(1-F)</t>
    <phoneticPr fontId="7" type="noConversion"/>
  </si>
  <si>
    <t>2pr(1-F)</t>
    <phoneticPr fontId="7" type="noConversion"/>
  </si>
  <si>
    <t>2qr(1-F)</t>
    <phoneticPr fontId="7" type="noConversion"/>
  </si>
  <si>
    <t>H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</si>
  <si>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4.7</t>
    </r>
    <phoneticPr fontId="7" type="noConversion"/>
  </si>
  <si>
    <t>观察值</t>
    <phoneticPr fontId="7" type="noConversion"/>
  </si>
  <si>
    <t>观察频率</t>
    <phoneticPr fontId="7" type="noConversion"/>
  </si>
  <si>
    <t>基因频率</t>
    <phoneticPr fontId="7" type="noConversion"/>
  </si>
  <si>
    <t>HWE杂合频率</t>
    <phoneticPr fontId="7" type="noConversion"/>
  </si>
  <si>
    <t>近交系数</t>
    <phoneticPr fontId="7" type="noConversion"/>
  </si>
  <si>
    <t>异交率</t>
    <phoneticPr fontId="7" type="noConversion"/>
  </si>
  <si>
    <t>BB</t>
    <phoneticPr fontId="7" type="noConversion"/>
  </si>
  <si>
    <t>总数</t>
    <phoneticPr fontId="7" type="noConversion"/>
  </si>
  <si>
    <t>C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</si>
  <si>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4.8</t>
    </r>
    <phoneticPr fontId="7" type="noConversion"/>
  </si>
  <si>
    <t>采集种子N</t>
    <phoneticPr fontId="7" type="noConversion"/>
  </si>
  <si>
    <t>植株数n</t>
    <phoneticPr fontId="7" type="noConversion"/>
  </si>
  <si>
    <t>Ne（公式4.46）</t>
    <phoneticPr fontId="7" type="noConversion"/>
  </si>
  <si>
    <t>(4)</t>
    <phoneticPr fontId="7" type="noConversion"/>
  </si>
  <si>
    <t>(5)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</si>
  <si>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4.9</t>
    </r>
    <phoneticPr fontId="7" type="noConversion"/>
  </si>
  <si>
    <t>雌配子方差</t>
    <phoneticPr fontId="7" type="noConversion"/>
  </si>
  <si>
    <t>雄配子方差</t>
    <phoneticPr fontId="7" type="noConversion"/>
  </si>
  <si>
    <t>Ne（公式4.13）</t>
    <phoneticPr fontId="7" type="noConversion"/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</si>
  <si>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4.10</t>
    </r>
    <phoneticPr fontId="7" type="noConversion"/>
  </si>
  <si>
    <t>100-自交-1没有再抽样误差；100-自交-2再生繁殖时，200个中抽取100个时存在再抽样误差</t>
    <phoneticPr fontId="7" type="noConversion"/>
  </si>
  <si>
    <t xml:space="preserve">练习5.1 </t>
    <phoneticPr fontId="7" type="noConversion"/>
  </si>
  <si>
    <t>N=</t>
    <phoneticPr fontId="7" type="noConversion"/>
  </si>
  <si>
    <t>p=1/2N</t>
    <phoneticPr fontId="7" type="noConversion"/>
  </si>
  <si>
    <t>Pr{lost}</t>
    <phoneticPr fontId="7" type="noConversion"/>
  </si>
  <si>
    <t>练习5.2</t>
    <phoneticPr fontId="7" type="noConversion"/>
  </si>
  <si>
    <t>Sita=</t>
    <phoneticPr fontId="7" type="noConversion"/>
  </si>
  <si>
    <t>n=</t>
    <phoneticPr fontId="7" type="noConversion"/>
  </si>
  <si>
    <t>a=</t>
    <phoneticPr fontId="7" type="noConversion"/>
  </si>
  <si>
    <t>S=10*a</t>
    <phoneticPr fontId="7" type="noConversion"/>
  </si>
  <si>
    <t>练习5.3</t>
    <phoneticPr fontId="7" type="noConversion"/>
  </si>
  <si>
    <t>略</t>
    <phoneticPr fontId="7" type="noConversion"/>
  </si>
  <si>
    <t>练习5.4</t>
    <phoneticPr fontId="7" type="noConversion"/>
  </si>
  <si>
    <t>p=1/2N</t>
    <phoneticPr fontId="7" type="noConversion"/>
  </si>
  <si>
    <t>2N=20</t>
    <phoneticPr fontId="7" type="noConversion"/>
  </si>
  <si>
    <t>P</t>
    <phoneticPr fontId="7" type="noConversion"/>
  </si>
  <si>
    <t>均值</t>
    <phoneticPr fontId="7" type="noConversion"/>
  </si>
  <si>
    <t>方差</t>
    <phoneticPr fontId="7" type="noConversion"/>
  </si>
  <si>
    <t>练习5.5</t>
    <phoneticPr fontId="7" type="noConversion"/>
  </si>
  <si>
    <t>N=50</t>
    <phoneticPr fontId="7" type="noConversion"/>
  </si>
  <si>
    <t>u=0.001</t>
    <phoneticPr fontId="7" type="noConversion"/>
  </si>
  <si>
    <t>Sita=4Nu</t>
    <phoneticPr fontId="7" type="noConversion"/>
  </si>
  <si>
    <t>练习5.6</t>
    <phoneticPr fontId="7" type="noConversion"/>
  </si>
  <si>
    <t>E(Tk)</t>
    <phoneticPr fontId="7" type="noConversion"/>
  </si>
  <si>
    <t>E(S)</t>
    <phoneticPr fontId="7" type="noConversion"/>
  </si>
  <si>
    <t>E(k)</t>
    <phoneticPr fontId="7" type="noConversion"/>
  </si>
  <si>
    <t>i</t>
    <phoneticPr fontId="7" type="noConversion"/>
  </si>
  <si>
    <t>Sita/(Sita+i)</t>
    <phoneticPr fontId="7" type="noConversion"/>
  </si>
  <si>
    <t>练习5.7</t>
    <phoneticPr fontId="7" type="noConversion"/>
  </si>
  <si>
    <t>n1</t>
    <phoneticPr fontId="7" type="noConversion"/>
  </si>
  <si>
    <t>n2</t>
    <phoneticPr fontId="7" type="noConversion"/>
  </si>
  <si>
    <t>Π</t>
    <phoneticPr fontId="7" type="noConversion"/>
  </si>
  <si>
    <t>S=</t>
    <phoneticPr fontId="7" type="noConversion"/>
  </si>
  <si>
    <t>和</t>
    <phoneticPr fontId="7" type="noConversion"/>
  </si>
  <si>
    <t>a=</t>
    <phoneticPr fontId="7" type="noConversion"/>
  </si>
  <si>
    <t>（1）S/5000</t>
    <phoneticPr fontId="7" type="noConversion"/>
  </si>
  <si>
    <t>（2）平均非匹配数</t>
    <phoneticPr fontId="7" type="noConversion"/>
  </si>
  <si>
    <t>（5）符合中性理论，这个座位没有受到选择的作用</t>
    <phoneticPr fontId="7" type="noConversion"/>
  </si>
  <si>
    <t>练习5.8</t>
    <phoneticPr fontId="7" type="noConversion"/>
  </si>
  <si>
    <t>T5</t>
    <phoneticPr fontId="7" type="noConversion"/>
  </si>
  <si>
    <t>T4</t>
    <phoneticPr fontId="7" type="noConversion"/>
  </si>
  <si>
    <t>T3</t>
    <phoneticPr fontId="7" type="noConversion"/>
  </si>
  <si>
    <t>T2</t>
    <phoneticPr fontId="7" type="noConversion"/>
  </si>
  <si>
    <t>T1</t>
    <phoneticPr fontId="7" type="noConversion"/>
  </si>
  <si>
    <t>T</t>
    <phoneticPr fontId="7" type="noConversion"/>
  </si>
  <si>
    <t>练习5.9</t>
    <phoneticPr fontId="7" type="noConversion"/>
  </si>
  <si>
    <t>Nm</t>
    <phoneticPr fontId="7" type="noConversion"/>
  </si>
  <si>
    <t>练习5.10</t>
    <phoneticPr fontId="7" type="noConversion"/>
  </si>
  <si>
    <t>m</t>
    <phoneticPr fontId="7" type="noConversion"/>
  </si>
  <si>
    <t>平衡F</t>
    <phoneticPr fontId="7" type="noConversion"/>
  </si>
  <si>
    <t>练习5.11</t>
    <phoneticPr fontId="7" type="noConversion"/>
  </si>
  <si>
    <t>练习5.12</t>
    <phoneticPr fontId="7" type="noConversion"/>
  </si>
  <si>
    <t>分组区间</t>
  </si>
  <si>
    <t>组中值</t>
  </si>
  <si>
    <t>53-55</t>
  </si>
  <si>
    <t>55-57</t>
  </si>
  <si>
    <t>57-59</t>
  </si>
  <si>
    <t>59-61</t>
  </si>
  <si>
    <t>61-63</t>
  </si>
  <si>
    <t>63-65</t>
  </si>
  <si>
    <t>65-67</t>
  </si>
  <si>
    <t>67-69</t>
  </si>
  <si>
    <t>69-71</t>
  </si>
  <si>
    <t>71-73</t>
  </si>
  <si>
    <t>73-75</t>
  </si>
  <si>
    <t>样本量</t>
    <phoneticPr fontId="7" type="noConversion"/>
  </si>
  <si>
    <t>(1)方差</t>
    <phoneticPr fontId="7" type="noConversion"/>
  </si>
  <si>
    <t>练习6.2</t>
    <phoneticPr fontId="7" type="noConversion"/>
  </si>
  <si>
    <t>自由度</t>
    <phoneticPr fontId="7" type="noConversion"/>
  </si>
  <si>
    <t>P1</t>
    <phoneticPr fontId="7" type="noConversion"/>
  </si>
  <si>
    <t>P2</t>
    <phoneticPr fontId="7" type="noConversion"/>
  </si>
  <si>
    <t>方差的平均</t>
    <phoneticPr fontId="7" type="noConversion"/>
  </si>
  <si>
    <t>合并方差</t>
    <phoneticPr fontId="7" type="noConversion"/>
  </si>
  <si>
    <t>练习6.3</t>
    <phoneticPr fontId="7" type="noConversion"/>
  </si>
  <si>
    <t>亲代</t>
    <phoneticPr fontId="7" type="noConversion"/>
  </si>
  <si>
    <t>子代</t>
    <phoneticPr fontId="7" type="noConversion"/>
  </si>
  <si>
    <t>（1）协方差</t>
    <phoneticPr fontId="7" type="noConversion"/>
  </si>
  <si>
    <t>（2）相关系数</t>
    <phoneticPr fontId="7" type="noConversion"/>
  </si>
  <si>
    <t>SUMMARY OUTPUT</t>
  </si>
  <si>
    <t>回归统计</t>
  </si>
  <si>
    <t>Multiple R</t>
  </si>
  <si>
    <t>R Square</t>
  </si>
  <si>
    <t>Adjusted R Square</t>
  </si>
  <si>
    <t>标准误差</t>
  </si>
  <si>
    <t>观测值</t>
  </si>
  <si>
    <t>方差分析</t>
  </si>
  <si>
    <t>df</t>
  </si>
  <si>
    <t>SS</t>
  </si>
  <si>
    <t>MS</t>
  </si>
  <si>
    <t>F</t>
  </si>
  <si>
    <t>Significance F</t>
  </si>
  <si>
    <t>回归分析</t>
  </si>
  <si>
    <t>残差</t>
  </si>
  <si>
    <t>总计</t>
  </si>
  <si>
    <t>Coefficients</t>
  </si>
  <si>
    <t>t Stat</t>
  </si>
  <si>
    <t>P-value</t>
  </si>
  <si>
    <t>Lower 95%</t>
  </si>
  <si>
    <t>Upper 95%</t>
  </si>
  <si>
    <t>下限 95.0%</t>
  </si>
  <si>
    <t>上限 95.0%</t>
  </si>
  <si>
    <t>Intercept</t>
  </si>
  <si>
    <t>X Variable 1</t>
  </si>
  <si>
    <t>练习6.4</t>
    <phoneticPr fontId="7" type="noConversion"/>
  </si>
  <si>
    <t>误差方差</t>
    <phoneticPr fontId="7" type="noConversion"/>
  </si>
  <si>
    <t>练习6.5</t>
    <phoneticPr fontId="7" type="noConversion"/>
  </si>
  <si>
    <r>
      <rPr>
        <sz val="10.5"/>
        <color theme="1"/>
        <rFont val="宋体"/>
        <family val="3"/>
        <charset val="134"/>
      </rPr>
      <t>参看</t>
    </r>
    <r>
      <rPr>
        <sz val="10.5"/>
        <color theme="1"/>
        <rFont val="Times New Roman"/>
        <family val="1"/>
      </rPr>
      <t>§6.1.3</t>
    </r>
    <r>
      <rPr>
        <sz val="10.5"/>
        <color theme="1"/>
        <rFont val="宋体"/>
        <family val="3"/>
        <charset val="134"/>
      </rPr>
      <t>的相关内容</t>
    </r>
    <phoneticPr fontId="7" type="noConversion"/>
  </si>
  <si>
    <t>练习6.6</t>
    <phoneticPr fontId="7" type="noConversion"/>
  </si>
  <si>
    <t>性状</t>
    <phoneticPr fontId="7" type="noConversion"/>
  </si>
  <si>
    <t>A*</t>
    <phoneticPr fontId="7" type="noConversion"/>
  </si>
  <si>
    <r>
      <t>F3</t>
    </r>
    <r>
      <rPr>
        <sz val="11"/>
        <color theme="1"/>
        <rFont val="宋体"/>
        <family val="3"/>
        <charset val="134"/>
      </rPr>
      <t>家系大小</t>
    </r>
    <phoneticPr fontId="7" type="noConversion"/>
  </si>
  <si>
    <r>
      <rPr>
        <sz val="11"/>
        <color theme="1"/>
        <rFont val="宋体"/>
        <family val="3"/>
        <charset val="134"/>
      </rPr>
      <t>误判概论</t>
    </r>
    <phoneticPr fontId="7" type="noConversion"/>
  </si>
  <si>
    <t>(1)Aa的5个后代都是显性</t>
    <phoneticPr fontId="7" type="noConversion"/>
  </si>
  <si>
    <t>(2)P=0.05</t>
    <phoneticPr fontId="7" type="noConversion"/>
  </si>
  <si>
    <r>
      <t>0.75</t>
    </r>
    <r>
      <rPr>
        <vertAlign val="superscript"/>
        <sz val="11"/>
        <color theme="1"/>
        <rFont val="宋体"/>
        <family val="3"/>
        <charset val="134"/>
        <scheme val="minor"/>
      </rPr>
      <t>n</t>
    </r>
    <r>
      <rPr>
        <sz val="11"/>
        <color theme="1"/>
        <rFont val="宋体"/>
        <family val="2"/>
        <scheme val="minor"/>
      </rPr>
      <t>&lt;0.05</t>
    </r>
    <phoneticPr fontId="7" type="noConversion"/>
  </si>
  <si>
    <t>(3)P=0.01</t>
    <phoneticPr fontId="7" type="noConversion"/>
  </si>
  <si>
    <t>练习6.7</t>
    <phoneticPr fontId="7" type="noConversion"/>
  </si>
  <si>
    <r>
      <t>Y~B(n,p)=X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2"/>
        <scheme val="minor"/>
      </rPr>
      <t>+X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+…+X</t>
    </r>
    <r>
      <rPr>
        <vertAlign val="subscript"/>
        <sz val="11"/>
        <color theme="1"/>
        <rFont val="宋体"/>
        <family val="3"/>
        <charset val="134"/>
        <scheme val="minor"/>
      </rPr>
      <t>n</t>
    </r>
    <phoneticPr fontId="7" type="noConversion"/>
  </si>
  <si>
    <t>1-p</t>
    <phoneticPr fontId="7" type="noConversion"/>
  </si>
  <si>
    <t>E(Y)=nE(X)=np</t>
    <phoneticPr fontId="7" type="noConversion"/>
  </si>
  <si>
    <t>E(X)=0*(1-p)+1*p=p</t>
    <phoneticPr fontId="7" type="noConversion"/>
  </si>
  <si>
    <t>V(X)=nV(X)=np(1-p)</t>
    <phoneticPr fontId="7" type="noConversion"/>
  </si>
  <si>
    <r>
      <t>V(X)=0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*(1-p)+1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*p-E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(X)=p-p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=p(1-p)</t>
    </r>
    <phoneticPr fontId="7" type="noConversion"/>
  </si>
  <si>
    <t>练习6.8</t>
    <phoneticPr fontId="7" type="noConversion"/>
  </si>
  <si>
    <r>
      <t>E(X)=(a+b)/2; E(X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)=(a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+ab+b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)/3 </t>
    </r>
    <phoneticPr fontId="7" type="noConversion"/>
  </si>
  <si>
    <r>
      <t>V(X)=(b-a)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/12</t>
    </r>
    <phoneticPr fontId="7" type="noConversion"/>
  </si>
  <si>
    <t>练习6.9</t>
    <phoneticPr fontId="7" type="noConversion"/>
  </si>
  <si>
    <t>练习6.10</t>
    <phoneticPr fontId="7" type="noConversion"/>
  </si>
  <si>
    <r>
      <t>b的LSE与变换前的LSE相同，Cov(X</t>
    </r>
    <r>
      <rPr>
        <vertAlign val="superscript"/>
        <sz val="11"/>
        <color theme="1"/>
        <rFont val="宋体"/>
        <family val="3"/>
        <charset val="134"/>
        <scheme val="minor"/>
      </rPr>
      <t>*</t>
    </r>
    <r>
      <rPr>
        <sz val="11"/>
        <color theme="1"/>
        <rFont val="宋体"/>
        <family val="2"/>
        <scheme val="minor"/>
      </rPr>
      <t>,Y</t>
    </r>
    <r>
      <rPr>
        <vertAlign val="superscript"/>
        <sz val="11"/>
        <color theme="1"/>
        <rFont val="宋体"/>
        <family val="3"/>
        <charset val="134"/>
        <scheme val="minor"/>
      </rPr>
      <t>*</t>
    </r>
    <r>
      <rPr>
        <sz val="11"/>
        <color theme="1"/>
        <rFont val="宋体"/>
        <family val="2"/>
        <scheme val="minor"/>
      </rPr>
      <t>)=Cov(X,Y)，V(X</t>
    </r>
    <r>
      <rPr>
        <vertAlign val="superscript"/>
        <sz val="11"/>
        <color theme="1"/>
        <rFont val="宋体"/>
        <family val="3"/>
        <charset val="134"/>
        <scheme val="minor"/>
      </rPr>
      <t>*</t>
    </r>
    <r>
      <rPr>
        <sz val="11"/>
        <color theme="1"/>
        <rFont val="宋体"/>
        <family val="2"/>
        <scheme val="minor"/>
      </rPr>
      <t>)=V(X)</t>
    </r>
    <phoneticPr fontId="7" type="noConversion"/>
  </si>
  <si>
    <t>练习6.11</t>
    <phoneticPr fontId="7" type="noConversion"/>
  </si>
  <si>
    <t>练习6.12</t>
    <phoneticPr fontId="7" type="noConversion"/>
  </si>
  <si>
    <t>lnL=C+(2D+H)p+(H+2R)(1-p)</t>
    <phoneticPr fontId="7" type="noConversion"/>
  </si>
  <si>
    <t>d/dp(lnL)=(2D+H)/p-(H+2R)(1-p)=0</t>
    <phoneticPr fontId="7" type="noConversion"/>
  </si>
  <si>
    <t>p=(D+H/2)/N</t>
    <phoneticPr fontId="7" type="noConversion"/>
  </si>
  <si>
    <t>练习6.13</t>
    <phoneticPr fontId="7" type="noConversion"/>
  </si>
  <si>
    <t>F3个体X</t>
    <phoneticPr fontId="7" type="noConversion"/>
  </si>
  <si>
    <t>后代Y</t>
    <phoneticPr fontId="7" type="noConversion"/>
  </si>
  <si>
    <t>相关系数</t>
    <phoneticPr fontId="7" type="noConversion"/>
  </si>
  <si>
    <t>练习7.1</t>
    <phoneticPr fontId="7" type="noConversion"/>
  </si>
  <si>
    <t>自交系</t>
    <phoneticPr fontId="39" type="noConversion"/>
  </si>
  <si>
    <t>植株1</t>
    <phoneticPr fontId="39" type="noConversion"/>
  </si>
  <si>
    <t>植株2</t>
    <phoneticPr fontId="39" type="noConversion"/>
  </si>
  <si>
    <t>植株3</t>
    <phoneticPr fontId="39" type="noConversion"/>
  </si>
  <si>
    <t>L01</t>
    <phoneticPr fontId="7" type="noConversion"/>
  </si>
  <si>
    <t>差异源</t>
  </si>
  <si>
    <t>F crit</t>
  </si>
  <si>
    <t>L02</t>
  </si>
  <si>
    <t>L03</t>
  </si>
  <si>
    <t>L04</t>
  </si>
  <si>
    <t>L05</t>
  </si>
  <si>
    <t>L06</t>
  </si>
  <si>
    <t>L07</t>
  </si>
  <si>
    <t>L08</t>
  </si>
  <si>
    <t>L09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</si>
  <si>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</si>
  <si>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</si>
  <si>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</si>
  <si>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</si>
  <si>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</si>
  <si>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</si>
  <si>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</si>
  <si>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</si>
  <si>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</si>
  <si>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</si>
  <si>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</si>
  <si>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区组2</t>
  </si>
  <si>
    <t>方差分析：无重复双因素分析</t>
  </si>
  <si>
    <t>RIL1</t>
  </si>
  <si>
    <t>RIL2</t>
  </si>
  <si>
    <t>行</t>
  </si>
  <si>
    <t>RIL3</t>
  </si>
  <si>
    <t>列</t>
  </si>
  <si>
    <t>RIL4</t>
  </si>
  <si>
    <t>误差</t>
  </si>
  <si>
    <t>RIL5</t>
  </si>
  <si>
    <t>RIL6</t>
  </si>
  <si>
    <t>RIL7</t>
  </si>
  <si>
    <t>RIL8</t>
  </si>
  <si>
    <t>RIL9</t>
  </si>
  <si>
    <t>RIL10</t>
  </si>
  <si>
    <t>练习7.3</t>
    <phoneticPr fontId="7" type="noConversion"/>
  </si>
  <si>
    <t>d</t>
    <phoneticPr fontId="7" type="noConversion"/>
  </si>
  <si>
    <t>练习7.4</t>
    <phoneticPr fontId="7" type="noConversion"/>
  </si>
  <si>
    <t>穗长组中值（mm）</t>
    <phoneticPr fontId="7" type="noConversion"/>
  </si>
  <si>
    <r>
      <t>P</t>
    </r>
    <r>
      <rPr>
        <vertAlign val="subscript"/>
        <sz val="10.5"/>
        <color theme="1"/>
        <rFont val="Times New Roman"/>
        <family val="1"/>
      </rPr>
      <t>1</t>
    </r>
  </si>
  <si>
    <r>
      <t>F</t>
    </r>
    <r>
      <rPr>
        <vertAlign val="subscript"/>
        <sz val="10.5"/>
        <color theme="1"/>
        <rFont val="Times New Roman"/>
        <family val="1"/>
      </rPr>
      <t>1</t>
    </r>
  </si>
  <si>
    <r>
      <t>P</t>
    </r>
    <r>
      <rPr>
        <vertAlign val="subscript"/>
        <sz val="10.5"/>
        <color theme="1"/>
        <rFont val="Times New Roman"/>
        <family val="1"/>
      </rPr>
      <t>2</t>
    </r>
  </si>
  <si>
    <r>
      <t>F</t>
    </r>
    <r>
      <rPr>
        <vertAlign val="subscript"/>
        <sz val="10.5"/>
        <color theme="1"/>
        <rFont val="Times New Roman"/>
        <family val="1"/>
      </rPr>
      <t>2</t>
    </r>
  </si>
  <si>
    <t>合并误差</t>
    <phoneticPr fontId="7" type="noConversion"/>
  </si>
  <si>
    <r>
      <rPr>
        <sz val="10.5"/>
        <color theme="1"/>
        <rFont val="宋体"/>
        <family val="3"/>
        <charset val="134"/>
      </rPr>
      <t>有效因子</t>
    </r>
    <r>
      <rPr>
        <sz val="10.5"/>
        <color theme="1"/>
        <rFont val="Times New Roman"/>
        <family val="1"/>
      </rPr>
      <t>k</t>
    </r>
    <phoneticPr fontId="7" type="noConversion"/>
  </si>
  <si>
    <t>练习7.5</t>
    <phoneticPr fontId="7" type="noConversion"/>
  </si>
  <si>
    <t>参见§7.2有关内容</t>
    <phoneticPr fontId="7" type="noConversion"/>
  </si>
  <si>
    <t>练习7.6</t>
    <phoneticPr fontId="7" type="noConversion"/>
  </si>
  <si>
    <t>练习7.7</t>
    <phoneticPr fontId="7" type="noConversion"/>
  </si>
  <si>
    <t>F2群体</t>
    <phoneticPr fontId="7" type="noConversion"/>
  </si>
  <si>
    <t>1/4</t>
    <phoneticPr fontId="7" type="noConversion"/>
  </si>
  <si>
    <t>1/2</t>
    <phoneticPr fontId="7" type="noConversion"/>
  </si>
  <si>
    <t>1/2d</t>
    <phoneticPr fontId="7" type="noConversion"/>
  </si>
  <si>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2"/>
        <scheme val="minor"/>
      </rPr>
      <t>/2a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+1/4d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</si>
  <si>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t>基因型值</t>
    <phoneticPr fontId="7" type="noConversion"/>
  </si>
  <si>
    <t>m+a</t>
    <phoneticPr fontId="7" type="noConversion"/>
  </si>
  <si>
    <t>m+d</t>
    <phoneticPr fontId="7" type="noConversion"/>
  </si>
  <si>
    <t>m-a</t>
    <phoneticPr fontId="7" type="noConversion"/>
  </si>
  <si>
    <t>F4混合群体频率</t>
    <phoneticPr fontId="7" type="noConversion"/>
  </si>
  <si>
    <t>7/16</t>
    <phoneticPr fontId="7" type="noConversion"/>
  </si>
  <si>
    <t>1/8</t>
    <phoneticPr fontId="7" type="noConversion"/>
  </si>
  <si>
    <t>1/8d</t>
    <phoneticPr fontId="7" type="noConversion"/>
  </si>
  <si>
    <r>
      <t>7/8a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+7/64d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</si>
  <si>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t>F4家系平均数</t>
    <phoneticPr fontId="7" type="noConversion"/>
  </si>
  <si>
    <t>m+1/4d</t>
    <phoneticPr fontId="7" type="noConversion"/>
  </si>
  <si>
    <r>
      <t>1</t>
    </r>
    <r>
      <rPr>
        <sz val="11"/>
        <color theme="1"/>
        <rFont val="宋体"/>
        <family val="2"/>
        <scheme val="minor"/>
      </rPr>
      <t>/2a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+1/64d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</si>
  <si>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t>F4家系方差</t>
    <phoneticPr fontId="7" type="noConversion"/>
  </si>
  <si>
    <r>
      <t>3</t>
    </r>
    <r>
      <rPr>
        <sz val="11"/>
        <color theme="1"/>
        <rFont val="宋体"/>
        <family val="2"/>
        <scheme val="minor"/>
      </rPr>
      <t>/4a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+3/16d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</si>
  <si>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r>
      <t>3</t>
    </r>
    <r>
      <rPr>
        <sz val="11"/>
        <color theme="1"/>
        <rFont val="宋体"/>
        <family val="2"/>
        <scheme val="minor"/>
      </rPr>
      <t>/8a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+3/32d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</si>
  <si>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t>协方差</t>
    <phoneticPr fontId="7" type="noConversion"/>
  </si>
  <si>
    <r>
      <t>1</t>
    </r>
    <r>
      <rPr>
        <sz val="11"/>
        <color theme="1"/>
        <rFont val="宋体"/>
        <family val="2"/>
        <scheme val="minor"/>
      </rPr>
      <t>/2a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+1/16d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 xml:space="preserve"> </t>
    </r>
    <phoneticPr fontId="7" type="noConversion"/>
  </si>
  <si>
    <t>练习7.8</t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</si>
  <si>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A</t>
    </r>
    <phoneticPr fontId="7" type="noConversion"/>
  </si>
  <si>
    <r>
      <t>d</t>
    </r>
    <r>
      <rPr>
        <vertAlign val="subscript"/>
        <sz val="11"/>
        <color theme="1"/>
        <rFont val="宋体"/>
        <family val="3"/>
        <charset val="134"/>
        <scheme val="minor"/>
      </rPr>
      <t>A</t>
    </r>
    <phoneticPr fontId="7" type="noConversion"/>
  </si>
  <si>
    <r>
      <t>a</t>
    </r>
    <r>
      <rPr>
        <vertAlign val="subscript"/>
        <sz val="11"/>
        <color theme="1"/>
        <rFont val="宋体"/>
        <family val="2"/>
        <scheme val="minor"/>
      </rPr>
      <t>B</t>
    </r>
    <phoneticPr fontId="7" type="noConversion"/>
  </si>
  <si>
    <r>
      <t>d</t>
    </r>
    <r>
      <rPr>
        <vertAlign val="subscript"/>
        <sz val="11"/>
        <color theme="1"/>
        <rFont val="宋体"/>
        <family val="2"/>
        <scheme val="minor"/>
      </rPr>
      <t>B</t>
    </r>
    <phoneticPr fontId="7" type="noConversion"/>
  </si>
  <si>
    <t>ad</t>
    <phoneticPr fontId="7" type="noConversion"/>
  </si>
  <si>
    <t>da</t>
    <phoneticPr fontId="7" type="noConversion"/>
  </si>
  <si>
    <t>dd</t>
    <phoneticPr fontId="7" type="noConversion"/>
  </si>
  <si>
    <t>逆矩阵</t>
    <phoneticPr fontId="7" type="noConversion"/>
  </si>
  <si>
    <t>情形I</t>
    <phoneticPr fontId="7" type="noConversion"/>
  </si>
  <si>
    <t>情形II</t>
    <phoneticPr fontId="7" type="noConversion"/>
  </si>
  <si>
    <t>情形IV</t>
    <phoneticPr fontId="7" type="noConversion"/>
  </si>
  <si>
    <t>遗传效应</t>
    <phoneticPr fontId="7" type="noConversion"/>
  </si>
  <si>
    <t>练习7.9</t>
    <phoneticPr fontId="7" type="noConversion"/>
  </si>
  <si>
    <t>情形III</t>
    <phoneticPr fontId="7" type="noConversion"/>
  </si>
  <si>
    <t>B1频率</t>
    <phoneticPr fontId="7" type="noConversion"/>
  </si>
  <si>
    <t>B2频率</t>
  </si>
  <si>
    <t>F2频率</t>
    <phoneticPr fontId="7" type="noConversion"/>
  </si>
  <si>
    <t>DH频率</t>
    <phoneticPr fontId="7" type="noConversion"/>
  </si>
  <si>
    <t>RIL频率</t>
    <phoneticPr fontId="7" type="noConversion"/>
  </si>
  <si>
    <t>练习7.10</t>
    <phoneticPr fontId="7" type="noConversion"/>
  </si>
  <si>
    <t>r=</t>
    <phoneticPr fontId="7" type="noConversion"/>
  </si>
  <si>
    <t>R=</t>
    <phoneticPr fontId="7" type="noConversion"/>
  </si>
  <si>
    <t>练习7.11</t>
    <phoneticPr fontId="7" type="noConversion"/>
  </si>
  <si>
    <t>R1</t>
    <phoneticPr fontId="7" type="noConversion"/>
  </si>
  <si>
    <t>R2</t>
  </si>
  <si>
    <t>R3</t>
  </si>
  <si>
    <t>R4</t>
  </si>
  <si>
    <t>R5</t>
  </si>
  <si>
    <t>R6</t>
  </si>
  <si>
    <t>平均</t>
    <phoneticPr fontId="7" type="noConversion"/>
  </si>
  <si>
    <t>主效应</t>
    <phoneticPr fontId="7" type="noConversion"/>
  </si>
  <si>
    <t>bb</t>
    <phoneticPr fontId="7" type="noConversion"/>
  </si>
  <si>
    <t>行平均</t>
    <phoneticPr fontId="7" type="noConversion"/>
  </si>
  <si>
    <t>行效应</t>
    <phoneticPr fontId="7" type="noConversion"/>
  </si>
  <si>
    <t>互作效应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</si>
  <si>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</si>
  <si>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</si>
  <si>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</si>
  <si>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列平均</t>
    <phoneticPr fontId="7" type="noConversion"/>
  </si>
  <si>
    <t>列效应</t>
    <phoneticPr fontId="7" type="noConversion"/>
  </si>
  <si>
    <t>变异来源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</si>
  <si>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</si>
  <si>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</si>
  <si>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</si>
  <si>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</si>
  <si>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</si>
  <si>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方差估计</t>
    <phoneticPr fontId="7" type="noConversion"/>
  </si>
  <si>
    <t>基因型</t>
    <phoneticPr fontId="7" type="noConversion"/>
  </si>
  <si>
    <t>座位A</t>
    <phoneticPr fontId="7" type="noConversion"/>
  </si>
  <si>
    <t>座位B</t>
    <phoneticPr fontId="7" type="noConversion"/>
  </si>
  <si>
    <t>互作</t>
    <phoneticPr fontId="7" type="noConversion"/>
  </si>
  <si>
    <t>随机误差</t>
    <phoneticPr fontId="7" type="noConversion"/>
  </si>
  <si>
    <t>总和</t>
    <phoneticPr fontId="7" type="noConversion"/>
  </si>
  <si>
    <t>练习7.12</t>
    <phoneticPr fontId="7" type="noConversion"/>
  </si>
  <si>
    <t>重复1</t>
    <phoneticPr fontId="7" type="noConversion"/>
  </si>
  <si>
    <t>重复2</t>
  </si>
  <si>
    <t>重复3</t>
  </si>
  <si>
    <t>重复4</t>
  </si>
  <si>
    <t>Bb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</si>
  <si>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</si>
  <si>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</si>
  <si>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</si>
  <si>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</si>
  <si>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列平均</t>
    <phoneticPr fontId="7" type="noConversion"/>
  </si>
  <si>
    <t>列效应</t>
    <phoneticPr fontId="7" type="noConversion"/>
  </si>
  <si>
    <t>变异来源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</si>
  <si>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</si>
  <si>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</si>
  <si>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</si>
  <si>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</si>
  <si>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</si>
  <si>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方差估计</t>
    <phoneticPr fontId="7" type="noConversion"/>
  </si>
  <si>
    <t>基因型</t>
    <phoneticPr fontId="7" type="noConversion"/>
  </si>
  <si>
    <t>座位A</t>
    <phoneticPr fontId="7" type="noConversion"/>
  </si>
  <si>
    <t>座位B</t>
    <phoneticPr fontId="7" type="noConversion"/>
  </si>
  <si>
    <t>互作</t>
    <phoneticPr fontId="7" type="noConversion"/>
  </si>
  <si>
    <t>随机误差</t>
    <phoneticPr fontId="7" type="noConversion"/>
  </si>
  <si>
    <t>总和</t>
    <phoneticPr fontId="7" type="noConversion"/>
  </si>
  <si>
    <t>A1A1</t>
    <phoneticPr fontId="7" type="noConversion"/>
  </si>
  <si>
    <t>A1A2</t>
    <phoneticPr fontId="7" type="noConversion"/>
  </si>
  <si>
    <t>A2A2</t>
    <phoneticPr fontId="7" type="noConversion"/>
  </si>
  <si>
    <t>2qα</t>
    <phoneticPr fontId="7" type="noConversion"/>
  </si>
  <si>
    <t>(q-p)α</t>
    <phoneticPr fontId="7" type="noConversion"/>
  </si>
  <si>
    <t>-2pα</t>
    <phoneticPr fontId="7" type="noConversion"/>
  </si>
  <si>
    <t>2pqd</t>
    <phoneticPr fontId="7" type="noConversion"/>
  </si>
  <si>
    <t>+</t>
    <phoneticPr fontId="39" type="noConversion"/>
  </si>
  <si>
    <t>pg</t>
    <phoneticPr fontId="39" type="noConversion"/>
  </si>
  <si>
    <t>(3)+</t>
    <phoneticPr fontId="39" type="noConversion"/>
  </si>
  <si>
    <t>(3)pg</t>
    <phoneticPr fontId="39" type="noConversion"/>
  </si>
  <si>
    <t>(4)Breeding value</t>
    <phoneticPr fontId="39" type="noConversion"/>
  </si>
  <si>
    <t>(2)Genetic value</t>
    <phoneticPr fontId="39" type="noConversion"/>
  </si>
  <si>
    <t>Genetic value</t>
    <phoneticPr fontId="39" type="noConversion"/>
  </si>
  <si>
    <t>Dominance deviation</t>
    <phoneticPr fontId="39" type="noConversion"/>
  </si>
  <si>
    <t>(5)Genetic variance</t>
    <phoneticPr fontId="39" type="noConversion"/>
  </si>
  <si>
    <t>++</t>
    <phoneticPr fontId="39" type="noConversion"/>
  </si>
  <si>
    <t>+pg</t>
    <phoneticPr fontId="39" type="noConversion"/>
  </si>
  <si>
    <t>pgpg</t>
    <phoneticPr fontId="39" type="noConversion"/>
  </si>
  <si>
    <t>m</t>
    <phoneticPr fontId="39" type="noConversion"/>
  </si>
  <si>
    <t>a</t>
    <phoneticPr fontId="39" type="noConversion"/>
  </si>
  <si>
    <t>d</t>
    <phoneticPr fontId="39" type="noConversion"/>
  </si>
  <si>
    <t>p</t>
    <phoneticPr fontId="39" type="noConversion"/>
  </si>
  <si>
    <t>q</t>
    <phoneticPr fontId="39" type="noConversion"/>
  </si>
  <si>
    <t>α+</t>
    <phoneticPr fontId="39" type="noConversion"/>
  </si>
  <si>
    <t>αpg</t>
    <phoneticPr fontId="39" type="noConversion"/>
  </si>
  <si>
    <t>α</t>
    <phoneticPr fontId="39" type="noConversion"/>
  </si>
  <si>
    <t>VA</t>
    <phoneticPr fontId="39" type="noConversion"/>
  </si>
  <si>
    <t>VD</t>
    <phoneticPr fontId="39" type="noConversion"/>
  </si>
  <si>
    <t>(1)VG</t>
    <phoneticPr fontId="39" type="noConversion"/>
  </si>
  <si>
    <t>p^2</t>
    <phoneticPr fontId="39" type="noConversion"/>
  </si>
  <si>
    <t>2pq</t>
    <phoneticPr fontId="39" type="noConversion"/>
  </si>
  <si>
    <t>q^2</t>
    <phoneticPr fontId="39" type="noConversion"/>
  </si>
  <si>
    <t>A1</t>
    <phoneticPr fontId="39" type="noConversion"/>
  </si>
  <si>
    <t>A2</t>
    <phoneticPr fontId="39" type="noConversion"/>
  </si>
  <si>
    <t>(3)A1</t>
    <phoneticPr fontId="39" type="noConversion"/>
  </si>
  <si>
    <t>(3)A2</t>
    <phoneticPr fontId="39" type="noConversion"/>
  </si>
  <si>
    <t>(4)Breeding value</t>
    <phoneticPr fontId="39" type="noConversion"/>
  </si>
  <si>
    <t>(2)Genetic value</t>
    <phoneticPr fontId="39" type="noConversion"/>
  </si>
  <si>
    <t>Genetic value</t>
    <phoneticPr fontId="39" type="noConversion"/>
  </si>
  <si>
    <t>Dominance deviation</t>
    <phoneticPr fontId="39" type="noConversion"/>
  </si>
  <si>
    <t>(5)Genetic variance</t>
    <phoneticPr fontId="39" type="noConversion"/>
  </si>
  <si>
    <t>A1A1</t>
    <phoneticPr fontId="39" type="noConversion"/>
  </si>
  <si>
    <t>A1A2</t>
    <phoneticPr fontId="39" type="noConversion"/>
  </si>
  <si>
    <t>A2A2</t>
    <phoneticPr fontId="39" type="noConversion"/>
  </si>
  <si>
    <t>m</t>
    <phoneticPr fontId="39" type="noConversion"/>
  </si>
  <si>
    <t>a</t>
    <phoneticPr fontId="39" type="noConversion"/>
  </si>
  <si>
    <t>d</t>
    <phoneticPr fontId="39" type="noConversion"/>
  </si>
  <si>
    <t>p</t>
    <phoneticPr fontId="39" type="noConversion"/>
  </si>
  <si>
    <t>q</t>
    <phoneticPr fontId="39" type="noConversion"/>
  </si>
  <si>
    <t>(1)mean</t>
    <phoneticPr fontId="39" type="noConversion"/>
  </si>
  <si>
    <t>α1</t>
    <phoneticPr fontId="39" type="noConversion"/>
  </si>
  <si>
    <t>α2</t>
    <phoneticPr fontId="39" type="noConversion"/>
  </si>
  <si>
    <t>α</t>
    <phoneticPr fontId="39" type="noConversion"/>
  </si>
  <si>
    <t>VA</t>
    <phoneticPr fontId="39" type="noConversion"/>
  </si>
  <si>
    <t>VD</t>
    <phoneticPr fontId="39" type="noConversion"/>
  </si>
  <si>
    <t>(1)VG</t>
    <phoneticPr fontId="39" type="noConversion"/>
  </si>
  <si>
    <t>p^2</t>
    <phoneticPr fontId="39" type="noConversion"/>
  </si>
  <si>
    <t>2pq</t>
    <phoneticPr fontId="39" type="noConversion"/>
  </si>
  <si>
    <t>q^2</t>
    <phoneticPr fontId="39" type="noConversion"/>
  </si>
  <si>
    <t>A1</t>
    <phoneticPr fontId="39" type="noConversion"/>
  </si>
  <si>
    <t>A2</t>
    <phoneticPr fontId="39" type="noConversion"/>
  </si>
  <si>
    <t>(3)A1</t>
    <phoneticPr fontId="39" type="noConversion"/>
  </si>
  <si>
    <t>(3)A2</t>
    <phoneticPr fontId="39" type="noConversion"/>
  </si>
  <si>
    <t>(4)Breeding value</t>
    <phoneticPr fontId="39" type="noConversion"/>
  </si>
  <si>
    <t>(2)Genetic value</t>
    <phoneticPr fontId="39" type="noConversion"/>
  </si>
  <si>
    <t>Genetic value</t>
    <phoneticPr fontId="39" type="noConversion"/>
  </si>
  <si>
    <t>Dominance deviation</t>
    <phoneticPr fontId="39" type="noConversion"/>
  </si>
  <si>
    <t>(5)Genetic variance</t>
    <phoneticPr fontId="39" type="noConversion"/>
  </si>
  <si>
    <t>A1A1</t>
    <phoneticPr fontId="39" type="noConversion"/>
  </si>
  <si>
    <t>A1A2</t>
    <phoneticPr fontId="39" type="noConversion"/>
  </si>
  <si>
    <t>A2A2</t>
    <phoneticPr fontId="39" type="noConversion"/>
  </si>
  <si>
    <t>m</t>
    <phoneticPr fontId="39" type="noConversion"/>
  </si>
  <si>
    <t>a</t>
    <phoneticPr fontId="39" type="noConversion"/>
  </si>
  <si>
    <t>d</t>
    <phoneticPr fontId="39" type="noConversion"/>
  </si>
  <si>
    <t>p</t>
    <phoneticPr fontId="39" type="noConversion"/>
  </si>
  <si>
    <t>q</t>
    <phoneticPr fontId="39" type="noConversion"/>
  </si>
  <si>
    <t>(1)mean</t>
    <phoneticPr fontId="39" type="noConversion"/>
  </si>
  <si>
    <t>α1</t>
    <phoneticPr fontId="39" type="noConversion"/>
  </si>
  <si>
    <t>α2</t>
    <phoneticPr fontId="39" type="noConversion"/>
  </si>
  <si>
    <t>α</t>
    <phoneticPr fontId="39" type="noConversion"/>
  </si>
  <si>
    <t>VA</t>
    <phoneticPr fontId="39" type="noConversion"/>
  </si>
  <si>
    <t>VD</t>
    <phoneticPr fontId="39" type="noConversion"/>
  </si>
  <si>
    <t>(1)VG</t>
    <phoneticPr fontId="39" type="noConversion"/>
  </si>
  <si>
    <t>p^2</t>
    <phoneticPr fontId="39" type="noConversion"/>
  </si>
  <si>
    <t>2pq</t>
    <phoneticPr fontId="39" type="noConversion"/>
  </si>
  <si>
    <t>q^2</t>
    <phoneticPr fontId="39" type="noConversion"/>
  </si>
  <si>
    <t>A1A1</t>
    <phoneticPr fontId="7" type="noConversion"/>
  </si>
  <si>
    <t>a</t>
    <phoneticPr fontId="7" type="noConversion"/>
  </si>
  <si>
    <t>A1A2</t>
    <phoneticPr fontId="7" type="noConversion"/>
  </si>
  <si>
    <t>2pq</t>
    <phoneticPr fontId="7" type="noConversion"/>
  </si>
  <si>
    <t>d</t>
    <phoneticPr fontId="7" type="noConversion"/>
  </si>
  <si>
    <t>A2A2</t>
    <phoneticPr fontId="7" type="noConversion"/>
  </si>
  <si>
    <t>-a</t>
    <phoneticPr fontId="7" type="noConversion"/>
  </si>
  <si>
    <t>AB</t>
    <phoneticPr fontId="7" type="noConversion"/>
  </si>
  <si>
    <t>(1-r)/2</t>
    <phoneticPr fontId="7" type="noConversion"/>
  </si>
  <si>
    <t>aB</t>
    <phoneticPr fontId="7" type="noConversion"/>
  </si>
  <si>
    <t>r/2</t>
    <phoneticPr fontId="7" type="noConversion"/>
  </si>
  <si>
    <t>Ab</t>
    <phoneticPr fontId="7" type="noConversion"/>
  </si>
  <si>
    <t>ab</t>
    <phoneticPr fontId="7" type="noConversion"/>
  </si>
  <si>
    <t>(1-2r)(1-r)/2</t>
    <phoneticPr fontId="7" type="noConversion"/>
  </si>
  <si>
    <t>m</t>
    <phoneticPr fontId="7" type="noConversion"/>
  </si>
  <si>
    <t>a1</t>
    <phoneticPr fontId="7" type="noConversion"/>
  </si>
  <si>
    <t>d1</t>
    <phoneticPr fontId="7" type="noConversion"/>
  </si>
  <si>
    <t>a2</t>
    <phoneticPr fontId="7" type="noConversion"/>
  </si>
  <si>
    <t>d2</t>
    <phoneticPr fontId="7" type="noConversion"/>
  </si>
  <si>
    <t>aa</t>
    <phoneticPr fontId="7" type="noConversion"/>
  </si>
  <si>
    <t>ad</t>
    <phoneticPr fontId="7" type="noConversion"/>
  </si>
  <si>
    <t>da</t>
    <phoneticPr fontId="7" type="noConversion"/>
  </si>
  <si>
    <t>dd</t>
    <phoneticPr fontId="7" type="noConversion"/>
  </si>
  <si>
    <t>AA</t>
    <phoneticPr fontId="7" type="noConversion"/>
  </si>
  <si>
    <t>BB</t>
    <phoneticPr fontId="7" type="noConversion"/>
  </si>
  <si>
    <t>Bb</t>
    <phoneticPr fontId="7" type="noConversion"/>
  </si>
  <si>
    <t>bb</t>
    <phoneticPr fontId="7" type="noConversion"/>
  </si>
  <si>
    <t>Aa</t>
    <phoneticPr fontId="7" type="noConversion"/>
  </si>
  <si>
    <t>(1)</t>
    <phoneticPr fontId="7" type="noConversion"/>
  </si>
  <si>
    <t xml:space="preserve"> </t>
    <phoneticPr fontId="7" type="noConversion"/>
  </si>
  <si>
    <t>(2)</t>
    <phoneticPr fontId="7" type="noConversion"/>
  </si>
  <si>
    <t>(3)</t>
    <phoneticPr fontId="7" type="noConversion"/>
  </si>
  <si>
    <t xml:space="preserve">练习9.1 </t>
    <phoneticPr fontId="7" type="noConversion"/>
  </si>
  <si>
    <t>环境1</t>
    <phoneticPr fontId="7" type="noConversion"/>
  </si>
  <si>
    <t>环境2</t>
  </si>
  <si>
    <t>环境3</t>
  </si>
  <si>
    <t>行平均</t>
    <phoneticPr fontId="7" type="noConversion"/>
  </si>
  <si>
    <t>行效应</t>
    <phoneticPr fontId="7" type="noConversion"/>
  </si>
  <si>
    <t>互作效应</t>
    <phoneticPr fontId="7" type="noConversion"/>
  </si>
  <si>
    <t>E1</t>
    <phoneticPr fontId="7" type="noConversion"/>
  </si>
  <si>
    <t>E2</t>
  </si>
  <si>
    <t>E3</t>
  </si>
  <si>
    <t>基因型1</t>
    <phoneticPr fontId="7" type="noConversion"/>
  </si>
  <si>
    <t>基因型2</t>
  </si>
  <si>
    <t>基因型3</t>
  </si>
  <si>
    <t>基因型4</t>
  </si>
  <si>
    <t>列平均</t>
    <phoneticPr fontId="7" type="noConversion"/>
  </si>
  <si>
    <t>列效应</t>
    <phoneticPr fontId="7" type="noConversion"/>
  </si>
  <si>
    <t>百分数</t>
    <phoneticPr fontId="7" type="noConversion"/>
  </si>
  <si>
    <t>练习9.2</t>
    <phoneticPr fontId="7" type="noConversion"/>
  </si>
  <si>
    <t>干旱环境</t>
    <phoneticPr fontId="7" type="noConversion"/>
  </si>
  <si>
    <t>非干旱环境</t>
    <phoneticPr fontId="7" type="noConversion"/>
  </si>
  <si>
    <t>自交系</t>
    <phoneticPr fontId="7" type="noConversion"/>
  </si>
  <si>
    <r>
      <t>重复</t>
    </r>
    <r>
      <rPr>
        <sz val="10.5"/>
        <color theme="1"/>
        <rFont val="Times New Roman"/>
        <family val="1"/>
      </rPr>
      <t>I</t>
    </r>
  </si>
  <si>
    <r>
      <t>重复</t>
    </r>
    <r>
      <rPr>
        <sz val="10.5"/>
        <color theme="1"/>
        <rFont val="Times New Roman"/>
        <family val="1"/>
      </rPr>
      <t>II</t>
    </r>
  </si>
  <si>
    <r>
      <t>重复</t>
    </r>
    <r>
      <rPr>
        <sz val="10.5"/>
        <color theme="1"/>
        <rFont val="Times New Roman"/>
        <family val="1"/>
      </rPr>
      <t>III</t>
    </r>
  </si>
  <si>
    <t>重复平均</t>
    <phoneticPr fontId="7" type="noConversion"/>
  </si>
  <si>
    <t>行平均</t>
    <phoneticPr fontId="7" type="noConversion"/>
  </si>
  <si>
    <t>基因型效应</t>
    <phoneticPr fontId="7" type="noConversion"/>
  </si>
  <si>
    <t>互作效应</t>
    <phoneticPr fontId="7" type="noConversion"/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</si>
  <si>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</si>
  <si>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</si>
  <si>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</si>
  <si>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</si>
  <si>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</si>
  <si>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</si>
  <si>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</si>
  <si>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</si>
  <si>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</si>
  <si>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列平均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</si>
  <si>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</si>
  <si>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</si>
  <si>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</si>
  <si>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方差估计值</t>
    <phoneticPr fontId="7" type="noConversion"/>
  </si>
  <si>
    <t>环境效应</t>
    <phoneticPr fontId="7" type="noConversion"/>
  </si>
  <si>
    <t>基因型</t>
    <phoneticPr fontId="7" type="noConversion"/>
  </si>
  <si>
    <t>环境</t>
    <phoneticPr fontId="7" type="noConversion"/>
  </si>
  <si>
    <t>互作</t>
    <phoneticPr fontId="7" type="noConversion"/>
  </si>
  <si>
    <t>机误</t>
    <phoneticPr fontId="7" type="noConversion"/>
  </si>
  <si>
    <t>总和</t>
    <phoneticPr fontId="7" type="noConversion"/>
  </si>
  <si>
    <t>练习9.3</t>
    <phoneticPr fontId="7" type="noConversion"/>
  </si>
  <si>
    <t>环境平均</t>
    <phoneticPr fontId="7" type="noConversion"/>
  </si>
  <si>
    <t>环境效应</t>
    <phoneticPr fontId="7" type="noConversion"/>
  </si>
  <si>
    <t>区组效应</t>
    <phoneticPr fontId="7" type="noConversion"/>
  </si>
  <si>
    <t>环境内区组</t>
    <phoneticPr fontId="7" type="noConversion"/>
  </si>
  <si>
    <t>基因型</t>
    <phoneticPr fontId="7" type="noConversion"/>
  </si>
  <si>
    <t>环境</t>
    <phoneticPr fontId="7" type="noConversion"/>
  </si>
  <si>
    <t>互作</t>
    <phoneticPr fontId="7" type="noConversion"/>
  </si>
  <si>
    <t>机误</t>
    <phoneticPr fontId="7" type="noConversion"/>
  </si>
  <si>
    <t>总和</t>
    <phoneticPr fontId="7" type="noConversion"/>
  </si>
  <si>
    <t>练习9.4</t>
    <phoneticPr fontId="7" type="noConversion"/>
  </si>
  <si>
    <t>E1</t>
  </si>
  <si>
    <t xml:space="preserve">E2 </t>
  </si>
  <si>
    <t xml:space="preserve">E3 </t>
  </si>
  <si>
    <t xml:space="preserve">E4 </t>
  </si>
  <si>
    <r>
      <t>重复</t>
    </r>
    <r>
      <rPr>
        <sz val="10"/>
        <color rgb="FF000000"/>
        <rFont val="Times New Roman"/>
        <family val="1"/>
      </rPr>
      <t>1</t>
    </r>
    <phoneticPr fontId="7" type="noConversion"/>
  </si>
  <si>
    <r>
      <t>重复</t>
    </r>
    <r>
      <rPr>
        <sz val="10"/>
        <color rgb="FF000000"/>
        <rFont val="Times New Roman"/>
        <family val="1"/>
      </rPr>
      <t>2</t>
    </r>
  </si>
  <si>
    <r>
      <t>重复</t>
    </r>
    <r>
      <rPr>
        <sz val="10"/>
        <color rgb="FF000000"/>
        <rFont val="Times New Roman"/>
        <family val="1"/>
      </rPr>
      <t>1</t>
    </r>
  </si>
  <si>
    <t>E4</t>
  </si>
  <si>
    <t>基因型效应</t>
    <phoneticPr fontId="7" type="noConversion"/>
  </si>
  <si>
    <t>R1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</si>
  <si>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</si>
  <si>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</si>
  <si>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</si>
  <si>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</si>
  <si>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</si>
  <si>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</si>
  <si>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</si>
  <si>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</si>
  <si>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</si>
  <si>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</si>
  <si>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</si>
  <si>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</si>
  <si>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</si>
  <si>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</si>
  <si>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列平均</t>
    <phoneticPr fontId="7" type="noConversion"/>
  </si>
  <si>
    <t>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</si>
  <si>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</si>
  <si>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</si>
  <si>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</si>
  <si>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方差估计值</t>
    <phoneticPr fontId="7" type="noConversion"/>
  </si>
  <si>
    <t>环境效应</t>
    <phoneticPr fontId="7" type="noConversion"/>
  </si>
  <si>
    <t>基因型</t>
    <phoneticPr fontId="7" type="noConversion"/>
  </si>
  <si>
    <t>环境</t>
    <phoneticPr fontId="7" type="noConversion"/>
  </si>
  <si>
    <t>互作</t>
    <phoneticPr fontId="7" type="noConversion"/>
  </si>
  <si>
    <t>机误</t>
    <phoneticPr fontId="7" type="noConversion"/>
  </si>
  <si>
    <t>练习9.5</t>
    <phoneticPr fontId="7" type="noConversion"/>
  </si>
  <si>
    <r>
      <t>重复</t>
    </r>
    <r>
      <rPr>
        <sz val="10"/>
        <color rgb="FF000000"/>
        <rFont val="Times New Roman"/>
        <family val="1"/>
      </rPr>
      <t>1</t>
    </r>
    <phoneticPr fontId="7" type="noConversion"/>
  </si>
  <si>
    <t>重复平均</t>
    <phoneticPr fontId="7" type="noConversion"/>
  </si>
  <si>
    <t>E1</t>
    <phoneticPr fontId="7" type="noConversion"/>
  </si>
  <si>
    <t>基因型效应</t>
    <phoneticPr fontId="7" type="noConversion"/>
  </si>
  <si>
    <t>列平均</t>
    <phoneticPr fontId="7" type="noConversion"/>
  </si>
  <si>
    <t>环境平均</t>
    <phoneticPr fontId="7" type="noConversion"/>
  </si>
  <si>
    <t>环境效应</t>
    <phoneticPr fontId="7" type="noConversion"/>
  </si>
  <si>
    <t>区组效应</t>
    <phoneticPr fontId="7" type="noConversion"/>
  </si>
  <si>
    <t>来源</t>
    <phoneticPr fontId="7" type="noConversion"/>
  </si>
  <si>
    <t>平方和</t>
    <phoneticPr fontId="7" type="noConversion"/>
  </si>
  <si>
    <t>均方</t>
    <phoneticPr fontId="7" type="noConversion"/>
  </si>
  <si>
    <t>方差估计值</t>
    <phoneticPr fontId="7" type="noConversion"/>
  </si>
  <si>
    <t>遗传力公式9.24</t>
    <phoneticPr fontId="7" type="noConversion"/>
  </si>
  <si>
    <t>环境内区组</t>
    <phoneticPr fontId="7" type="noConversion"/>
  </si>
  <si>
    <t>环境</t>
    <phoneticPr fontId="7" type="noConversion"/>
  </si>
  <si>
    <t>互作</t>
    <phoneticPr fontId="7" type="noConversion"/>
  </si>
  <si>
    <t>机误</t>
    <phoneticPr fontId="7" type="noConversion"/>
  </si>
  <si>
    <t>练习9.6</t>
    <phoneticPr fontId="7" type="noConversion"/>
  </si>
  <si>
    <t>练习9.7</t>
    <phoneticPr fontId="7" type="noConversion"/>
  </si>
  <si>
    <t>练习10.1</t>
    <phoneticPr fontId="7" type="noConversion"/>
  </si>
  <si>
    <t>参看10.1节的有关内容</t>
    <phoneticPr fontId="7" type="noConversion"/>
  </si>
  <si>
    <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  <scheme val="minor"/>
      </rPr>
      <t>）计算加性方差、显性方差、狭义遗传力和广义遗传力</t>
    </r>
  </si>
  <si>
    <t>练习10.2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</si>
  <si>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</si>
  <si>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</si>
  <si>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</si>
  <si>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Add</t>
    <phoneticPr fontId="7" type="noConversion"/>
  </si>
  <si>
    <t>Dom</t>
    <phoneticPr fontId="7" type="noConversion"/>
  </si>
  <si>
    <t>VA</t>
    <phoneticPr fontId="7" type="noConversion"/>
  </si>
  <si>
    <t>VD</t>
    <phoneticPr fontId="7" type="noConversion"/>
  </si>
  <si>
    <t>VG</t>
    <phoneticPr fontId="7" type="noConversion"/>
  </si>
  <si>
    <t xml:space="preserve">VE </t>
    <phoneticPr fontId="7" type="noConversion"/>
  </si>
  <si>
    <r>
      <rPr>
        <sz val="11"/>
        <color theme="1"/>
        <rFont val="宋体"/>
        <family val="3"/>
        <charset val="134"/>
        <scheme val="minor"/>
      </rP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</si>
  <si>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</si>
  <si>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基因型值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</si>
  <si>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</si>
  <si>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</si>
  <si>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</si>
  <si>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</si>
  <si>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</si>
  <si>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</si>
  <si>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N(0,1)</t>
    <phoneticPr fontId="7" type="noConversion"/>
  </si>
  <si>
    <t>父本</t>
    <phoneticPr fontId="7" type="noConversion"/>
  </si>
  <si>
    <t>练习10.3</t>
    <phoneticPr fontId="7" type="noConversion"/>
  </si>
  <si>
    <t>行平均</t>
    <phoneticPr fontId="7" type="noConversion"/>
  </si>
  <si>
    <t>母本效应</t>
    <phoneticPr fontId="7" type="noConversion"/>
  </si>
  <si>
    <t>父本效应</t>
    <phoneticPr fontId="7" type="noConversion"/>
  </si>
  <si>
    <t>变异来源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</si>
  <si>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</si>
  <si>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</si>
  <si>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</si>
  <si>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</si>
  <si>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</si>
  <si>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父本间</t>
    <phoneticPr fontId="7" type="noConversion"/>
  </si>
  <si>
    <t>母本间/父本</t>
    <phoneticPr fontId="7" type="noConversion"/>
  </si>
  <si>
    <t>剩余</t>
    <phoneticPr fontId="7" type="noConversion"/>
  </si>
  <si>
    <t>总和</t>
    <phoneticPr fontId="7" type="noConversion"/>
  </si>
  <si>
    <t>剩余方差</t>
    <phoneticPr fontId="7" type="noConversion"/>
  </si>
  <si>
    <t>父本方差</t>
    <phoneticPr fontId="7" type="noConversion"/>
  </si>
  <si>
    <t>母本方差</t>
    <phoneticPr fontId="7" type="noConversion"/>
  </si>
  <si>
    <t>VA</t>
    <phoneticPr fontId="7" type="noConversion"/>
  </si>
  <si>
    <t>VD</t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</si>
  <si>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</si>
  <si>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</si>
  <si>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固定模型</t>
    <phoneticPr fontId="7" type="noConversion"/>
  </si>
  <si>
    <t>随机模型</t>
    <phoneticPr fontId="7" type="noConversion"/>
  </si>
  <si>
    <t>练习10.4</t>
    <phoneticPr fontId="7" type="noConversion"/>
  </si>
  <si>
    <t>行平均</t>
    <phoneticPr fontId="7" type="noConversion"/>
  </si>
  <si>
    <t>列平均</t>
    <phoneticPr fontId="7" type="noConversion"/>
  </si>
  <si>
    <t>互作效应</t>
    <phoneticPr fontId="7" type="noConversion"/>
  </si>
  <si>
    <t>父本效应</t>
    <phoneticPr fontId="7" type="noConversion"/>
  </si>
  <si>
    <t>母本效应</t>
    <phoneticPr fontId="7" type="noConversion"/>
  </si>
  <si>
    <t>变异来源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</si>
  <si>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</si>
  <si>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</si>
  <si>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</si>
  <si>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</si>
  <si>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</si>
  <si>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父本间</t>
    <phoneticPr fontId="7" type="noConversion"/>
  </si>
  <si>
    <t>母本间</t>
    <phoneticPr fontId="7" type="noConversion"/>
  </si>
  <si>
    <t>互作</t>
    <phoneticPr fontId="7" type="noConversion"/>
  </si>
  <si>
    <t>剩余</t>
    <phoneticPr fontId="7" type="noConversion"/>
  </si>
  <si>
    <t>总和</t>
    <phoneticPr fontId="7" type="noConversion"/>
  </si>
  <si>
    <t>剩余方差</t>
    <phoneticPr fontId="7" type="noConversion"/>
  </si>
  <si>
    <t>父本方差</t>
    <phoneticPr fontId="7" type="noConversion"/>
  </si>
  <si>
    <t>母本方差</t>
    <phoneticPr fontId="7" type="noConversion"/>
  </si>
  <si>
    <t>互作方差</t>
    <phoneticPr fontId="7" type="noConversion"/>
  </si>
  <si>
    <t>VA</t>
    <phoneticPr fontId="7" type="noConversion"/>
  </si>
  <si>
    <t>VD</t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</si>
  <si>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</si>
  <si>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</si>
  <si>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固定模型</t>
    <phoneticPr fontId="7" type="noConversion"/>
  </si>
  <si>
    <t>随机模型</t>
    <phoneticPr fontId="7" type="noConversion"/>
  </si>
  <si>
    <t>练习10.5</t>
    <phoneticPr fontId="7" type="noConversion"/>
  </si>
  <si>
    <t>组合效应</t>
    <phoneticPr fontId="7" type="noConversion"/>
  </si>
  <si>
    <t>变异来源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</si>
  <si>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</si>
  <si>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</si>
  <si>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</si>
  <si>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</si>
  <si>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</si>
  <si>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组合间</t>
    <phoneticPr fontId="7" type="noConversion"/>
  </si>
  <si>
    <t>剩余</t>
    <phoneticPr fontId="7" type="noConversion"/>
  </si>
  <si>
    <t>总和</t>
    <phoneticPr fontId="7" type="noConversion"/>
  </si>
  <si>
    <t>全同胞家系内</t>
    <phoneticPr fontId="7" type="noConversion"/>
  </si>
  <si>
    <t>全同胞家系间</t>
    <phoneticPr fontId="7" type="noConversion"/>
  </si>
  <si>
    <t>固定模型</t>
    <phoneticPr fontId="7" type="noConversion"/>
  </si>
  <si>
    <t>练习10.6</t>
    <phoneticPr fontId="7" type="noConversion"/>
  </si>
  <si>
    <t>m</t>
    <phoneticPr fontId="7" type="noConversion"/>
  </si>
  <si>
    <t>a</t>
    <phoneticPr fontId="7" type="noConversion"/>
  </si>
  <si>
    <t>d</t>
    <phoneticPr fontId="7" type="noConversion"/>
  </si>
  <si>
    <t>AA</t>
    <phoneticPr fontId="7" type="noConversion"/>
  </si>
  <si>
    <t>VA</t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</si>
  <si>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</si>
  <si>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Aa</t>
    <phoneticPr fontId="7" type="noConversion"/>
  </si>
  <si>
    <t>VD</t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</si>
  <si>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</si>
  <si>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aa</t>
    <phoneticPr fontId="7" type="noConversion"/>
  </si>
  <si>
    <t>VE</t>
    <phoneticPr fontId="7" type="noConversion"/>
  </si>
  <si>
    <t>F2基因型</t>
    <phoneticPr fontId="7" type="noConversion"/>
  </si>
  <si>
    <t>基因型值</t>
    <phoneticPr fontId="7" type="noConversion"/>
  </si>
  <si>
    <t>频率</t>
    <phoneticPr fontId="7" type="noConversion"/>
  </si>
  <si>
    <t>L1xAA</t>
    <phoneticPr fontId="7" type="noConversion"/>
  </si>
  <si>
    <t>L2xaa</t>
    <phoneticPr fontId="7" type="noConversion"/>
  </si>
  <si>
    <t>L3xAa</t>
    <phoneticPr fontId="7" type="noConversion"/>
  </si>
  <si>
    <t>L1+L2</t>
    <phoneticPr fontId="7" type="noConversion"/>
  </si>
  <si>
    <t>L1-L2</t>
    <phoneticPr fontId="7" type="noConversion"/>
  </si>
  <si>
    <t>L1+L2+L3</t>
    <phoneticPr fontId="7" type="noConversion"/>
  </si>
  <si>
    <t>L1+L2-2L3</t>
    <phoneticPr fontId="7" type="noConversion"/>
  </si>
  <si>
    <t>Aa</t>
    <phoneticPr fontId="7" type="noConversion"/>
  </si>
  <si>
    <t>aa</t>
    <phoneticPr fontId="7" type="noConversion"/>
  </si>
  <si>
    <t>均值</t>
    <phoneticPr fontId="7" type="noConversion"/>
  </si>
  <si>
    <t>方差</t>
    <phoneticPr fontId="7" type="noConversion"/>
  </si>
  <si>
    <t>练习10.7</t>
    <phoneticPr fontId="7" type="noConversion"/>
  </si>
  <si>
    <t>理论值</t>
    <phoneticPr fontId="7" type="noConversion"/>
  </si>
  <si>
    <t>N(0,1)</t>
    <phoneticPr fontId="7" type="noConversion"/>
  </si>
  <si>
    <t>F2</t>
    <phoneticPr fontId="7" type="noConversion"/>
  </si>
  <si>
    <t>L1</t>
    <phoneticPr fontId="7" type="noConversion"/>
  </si>
  <si>
    <t>L2</t>
    <phoneticPr fontId="7" type="noConversion"/>
  </si>
  <si>
    <t>L3</t>
    <phoneticPr fontId="7" type="noConversion"/>
  </si>
  <si>
    <t>重复I</t>
    <phoneticPr fontId="7" type="noConversion"/>
  </si>
  <si>
    <t>重复II</t>
    <phoneticPr fontId="7" type="noConversion"/>
  </si>
  <si>
    <t>重复平均数</t>
    <phoneticPr fontId="7" type="noConversion"/>
  </si>
  <si>
    <t>F2个体</t>
    <phoneticPr fontId="7" type="noConversion"/>
  </si>
  <si>
    <t>L1</t>
    <phoneticPr fontId="7" type="noConversion"/>
  </si>
  <si>
    <t>L2</t>
    <phoneticPr fontId="7" type="noConversion"/>
  </si>
  <si>
    <t>L3</t>
    <phoneticPr fontId="7" type="noConversion"/>
  </si>
  <si>
    <t>L1+L2</t>
    <phoneticPr fontId="7" type="noConversion"/>
  </si>
  <si>
    <t>L1-L2</t>
    <phoneticPr fontId="7" type="noConversion"/>
  </si>
  <si>
    <t>L1+L2+L3</t>
    <phoneticPr fontId="7" type="noConversion"/>
  </si>
  <si>
    <t>L1+L2-2L3</t>
    <phoneticPr fontId="7" type="noConversion"/>
  </si>
  <si>
    <t>总平均</t>
    <phoneticPr fontId="7" type="noConversion"/>
  </si>
  <si>
    <t>均值</t>
    <phoneticPr fontId="7" type="noConversion"/>
  </si>
  <si>
    <t>方差</t>
    <phoneticPr fontId="7" type="noConversion"/>
  </si>
  <si>
    <t>NCIII</t>
    <phoneticPr fontId="7" type="noConversion"/>
  </si>
  <si>
    <t>TTC</t>
    <phoneticPr fontId="7" type="noConversion"/>
  </si>
  <si>
    <t>VA</t>
    <phoneticPr fontId="7" type="noConversion"/>
  </si>
  <si>
    <t>VD</t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</si>
  <si>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</si>
  <si>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</si>
  <si>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练习10.8</t>
    <phoneticPr fontId="7" type="noConversion"/>
  </si>
  <si>
    <t>环境I</t>
    <phoneticPr fontId="7" type="noConversion"/>
  </si>
  <si>
    <t>环境II</t>
    <phoneticPr fontId="7" type="noConversion"/>
  </si>
  <si>
    <t>环境III</t>
    <phoneticPr fontId="7" type="noConversion"/>
  </si>
  <si>
    <t>环境IV</t>
    <phoneticPr fontId="7" type="noConversion"/>
  </si>
  <si>
    <t>RIL名称</t>
    <phoneticPr fontId="7" type="noConversion"/>
  </si>
  <si>
    <t>重复III</t>
    <phoneticPr fontId="7" type="noConversion"/>
  </si>
  <si>
    <t>环境和重复平均数</t>
    <phoneticPr fontId="7" type="noConversion"/>
  </si>
  <si>
    <t>RIL2</t>
    <phoneticPr fontId="7" type="noConversion"/>
  </si>
  <si>
    <t>RIL14</t>
    <phoneticPr fontId="7" type="noConversion"/>
  </si>
  <si>
    <t>RIL23</t>
    <phoneticPr fontId="7" type="noConversion"/>
  </si>
  <si>
    <t>RIL42</t>
    <phoneticPr fontId="7" type="noConversion"/>
  </si>
  <si>
    <t>RIL52</t>
    <phoneticPr fontId="7" type="noConversion"/>
  </si>
  <si>
    <t>RIL58</t>
    <phoneticPr fontId="7" type="noConversion"/>
  </si>
  <si>
    <t>RIL69</t>
    <phoneticPr fontId="7" type="noConversion"/>
  </si>
  <si>
    <t>RIL72</t>
    <phoneticPr fontId="7" type="noConversion"/>
  </si>
  <si>
    <t>RIL73</t>
    <phoneticPr fontId="7" type="noConversion"/>
  </si>
  <si>
    <r>
      <t>2V</t>
    </r>
    <r>
      <rPr>
        <vertAlign val="subscript"/>
        <sz val="11"/>
        <color theme="1"/>
        <rFont val="宋体"/>
        <family val="3"/>
        <charset val="134"/>
        <scheme val="minor"/>
      </rPr>
      <t>A</t>
    </r>
    <phoneticPr fontId="7" type="noConversion"/>
  </si>
  <si>
    <t>RIL78</t>
    <phoneticPr fontId="7" type="noConversion"/>
  </si>
  <si>
    <t>永久F2名称</t>
    <phoneticPr fontId="7" type="noConversion"/>
  </si>
  <si>
    <t>IF1</t>
    <phoneticPr fontId="7" type="noConversion"/>
  </si>
  <si>
    <t>IF2</t>
    <phoneticPr fontId="7" type="noConversion"/>
  </si>
  <si>
    <t>IF3</t>
    <phoneticPr fontId="7" type="noConversion"/>
  </si>
  <si>
    <t>IF4</t>
    <phoneticPr fontId="7" type="noConversion"/>
  </si>
  <si>
    <t>IF6</t>
    <phoneticPr fontId="7" type="noConversion"/>
  </si>
  <si>
    <t>IF7</t>
    <phoneticPr fontId="7" type="noConversion"/>
  </si>
  <si>
    <t>IF8</t>
    <phoneticPr fontId="7" type="noConversion"/>
  </si>
  <si>
    <t>IF9</t>
    <phoneticPr fontId="7" type="noConversion"/>
  </si>
  <si>
    <t>IF10</t>
    <phoneticPr fontId="7" type="noConversion"/>
  </si>
  <si>
    <t>VA+VD</t>
    <phoneticPr fontId="7" type="noConversion"/>
  </si>
  <si>
    <t>IF11</t>
    <phoneticPr fontId="7" type="noConversion"/>
  </si>
  <si>
    <t>均方</t>
    <phoneticPr fontId="7" type="noConversion"/>
  </si>
  <si>
    <t>方差估计值</t>
    <phoneticPr fontId="7" type="noConversion"/>
  </si>
  <si>
    <t>广义遗传力</t>
    <phoneticPr fontId="7" type="noConversion"/>
  </si>
  <si>
    <t>群体类型</t>
    <phoneticPr fontId="7" type="noConversion"/>
  </si>
  <si>
    <t>环境</t>
    <phoneticPr fontId="7" type="noConversion"/>
  </si>
  <si>
    <t>基因型</t>
    <phoneticPr fontId="7" type="noConversion"/>
  </si>
  <si>
    <t>随机误差</t>
    <phoneticPr fontId="7" type="noConversion"/>
  </si>
  <si>
    <t>F值</t>
    <phoneticPr fontId="7" type="noConversion"/>
  </si>
  <si>
    <t>一次重复</t>
    <phoneticPr fontId="7" type="noConversion"/>
  </si>
  <si>
    <t>RIL群体</t>
    <phoneticPr fontId="7" type="noConversion"/>
  </si>
  <si>
    <t>永久F2群体</t>
    <phoneticPr fontId="7" type="noConversion"/>
  </si>
  <si>
    <t>基因型和环境互作</t>
    <phoneticPr fontId="7" type="noConversion"/>
  </si>
  <si>
    <t>单环境一次重复</t>
    <phoneticPr fontId="7" type="noConversion"/>
  </si>
  <si>
    <t>加性方差 （VA）</t>
    <phoneticPr fontId="7" type="noConversion"/>
  </si>
  <si>
    <t>显性方差</t>
    <phoneticPr fontId="7" type="noConversion"/>
  </si>
  <si>
    <t>联合分析</t>
    <phoneticPr fontId="7" type="noConversion"/>
  </si>
  <si>
    <t>练习11.1</t>
    <phoneticPr fontId="7" type="noConversion"/>
  </si>
  <si>
    <t>选择比例p</t>
    <phoneticPr fontId="7" type="noConversion"/>
  </si>
  <si>
    <t>x</t>
    <phoneticPr fontId="7" type="noConversion"/>
  </si>
  <si>
    <t>z</t>
    <phoneticPr fontId="7" type="noConversion"/>
  </si>
  <si>
    <t>i=z/p</t>
    <phoneticPr fontId="7" type="noConversion"/>
  </si>
  <si>
    <r>
      <t>h</t>
    </r>
    <r>
      <rPr>
        <vertAlign val="superscript"/>
        <sz val="11"/>
        <rFont val="宋体"/>
        <family val="3"/>
        <charset val="134"/>
        <scheme val="minor"/>
      </rPr>
      <t>2</t>
    </r>
    <r>
      <rPr>
        <sz val="11"/>
        <rFont val="宋体"/>
        <family val="3"/>
        <charset val="134"/>
        <scheme val="minor"/>
      </rPr>
      <t xml:space="preserve"> </t>
    </r>
    <phoneticPr fontId="7" type="noConversion"/>
  </si>
  <si>
    <r>
      <t>V</t>
    </r>
    <r>
      <rPr>
        <vertAlign val="subscript"/>
        <sz val="11"/>
        <rFont val="宋体"/>
        <family val="3"/>
        <charset val="134"/>
        <scheme val="minor"/>
      </rPr>
      <t>P</t>
    </r>
    <phoneticPr fontId="7" type="noConversion"/>
  </si>
  <si>
    <t>练习11.2</t>
    <phoneticPr fontId="7" type="noConversion"/>
  </si>
  <si>
    <r>
      <rPr>
        <sz val="11"/>
        <color theme="1"/>
        <rFont val="宋体"/>
        <family val="3"/>
        <charset val="134"/>
      </rPr>
      <t>参阅</t>
    </r>
    <r>
      <rPr>
        <sz val="11"/>
        <color theme="1"/>
        <rFont val="Times New Roman"/>
        <family val="1"/>
      </rPr>
      <t>§11.1.3</t>
    </r>
    <r>
      <rPr>
        <sz val="11"/>
        <color theme="1"/>
        <rFont val="宋体"/>
        <family val="3"/>
        <charset val="134"/>
      </rPr>
      <t>相关内容</t>
    </r>
    <phoneticPr fontId="7" type="noConversion"/>
  </si>
  <si>
    <t>练习11.3</t>
    <phoneticPr fontId="7" type="noConversion"/>
  </si>
  <si>
    <t>a</t>
    <phoneticPr fontId="7" type="noConversion"/>
  </si>
  <si>
    <t>d</t>
    <phoneticPr fontId="7" type="noConversion"/>
  </si>
  <si>
    <t>0.5d</t>
    <phoneticPr fontId="7" type="noConversion"/>
  </si>
  <si>
    <t>V(A)</t>
    <phoneticPr fontId="7" type="noConversion"/>
  </si>
  <si>
    <t>V(D)</t>
    <phoneticPr fontId="7" type="noConversion"/>
  </si>
  <si>
    <t>V(G)</t>
    <phoneticPr fontId="7" type="noConversion"/>
  </si>
  <si>
    <t>F2均值</t>
    <phoneticPr fontId="7" type="noConversion"/>
  </si>
  <si>
    <t>V(E)</t>
    <phoneticPr fontId="7" type="noConversion"/>
  </si>
  <si>
    <t>V(P)</t>
    <phoneticPr fontId="7" type="noConversion"/>
  </si>
  <si>
    <t>遗传力</t>
    <phoneticPr fontId="7" type="noConversion"/>
  </si>
  <si>
    <t>选择强度</t>
    <phoneticPr fontId="7" type="noConversion"/>
  </si>
  <si>
    <t>选择差</t>
    <phoneticPr fontId="7" type="noConversion"/>
  </si>
  <si>
    <t>遗传进度</t>
    <phoneticPr fontId="7" type="noConversion"/>
  </si>
  <si>
    <t>后代期望均值</t>
    <phoneticPr fontId="7" type="noConversion"/>
  </si>
  <si>
    <t>练习11.4</t>
    <phoneticPr fontId="7" type="noConversion"/>
  </si>
  <si>
    <t>略</t>
    <phoneticPr fontId="7" type="noConversion"/>
  </si>
  <si>
    <t>练习11.5</t>
    <phoneticPr fontId="7" type="noConversion"/>
  </si>
  <si>
    <t>Cov(P,P)</t>
    <phoneticPr fontId="7" type="noConversion"/>
  </si>
  <si>
    <t>Cov(A,A)</t>
    <phoneticPr fontId="7" type="noConversion"/>
  </si>
  <si>
    <t>Cov(E,E)</t>
    <phoneticPr fontId="7" type="noConversion"/>
  </si>
  <si>
    <t>油分含量</t>
  </si>
  <si>
    <t>蛋白含量</t>
    <phoneticPr fontId="7" type="noConversion"/>
  </si>
  <si>
    <r>
      <t>(1)</t>
    </r>
    <r>
      <rPr>
        <sz val="11"/>
        <color theme="1"/>
        <rFont val="宋体"/>
        <family val="2"/>
        <scheme val="minor"/>
      </rPr>
      <t>遗传力h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</si>
  <si>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(2,3)相关系数</t>
    <phoneticPr fontId="7" type="noConversion"/>
  </si>
  <si>
    <t>选择强度 (p=5%)</t>
    <phoneticPr fontId="7" type="noConversion"/>
  </si>
  <si>
    <t>(4)直接进度</t>
    <phoneticPr fontId="7" type="noConversion"/>
  </si>
  <si>
    <t>(5)间接进度</t>
    <phoneticPr fontId="7" type="noConversion"/>
  </si>
  <si>
    <t>蛋白含量的间接遗传进度超过了直接选择的遗传进度</t>
    <phoneticPr fontId="7" type="noConversion"/>
  </si>
  <si>
    <t>练习11.6-8</t>
    <phoneticPr fontId="7" type="noConversion"/>
  </si>
  <si>
    <r>
      <t>Cov(P,P)</t>
    </r>
    <r>
      <rPr>
        <vertAlign val="superscript"/>
        <sz val="11"/>
        <color theme="1"/>
        <rFont val="宋体"/>
        <family val="3"/>
        <charset val="134"/>
        <scheme val="minor"/>
      </rPr>
      <t>-1</t>
    </r>
    <phoneticPr fontId="7" type="noConversion"/>
  </si>
  <si>
    <r>
      <t>Cov(P,P)</t>
    </r>
    <r>
      <rPr>
        <vertAlign val="superscript"/>
        <sz val="11"/>
        <color theme="1"/>
        <rFont val="宋体"/>
        <family val="3"/>
        <charset val="134"/>
        <scheme val="minor"/>
      </rPr>
      <t>-1</t>
    </r>
    <r>
      <rPr>
        <sz val="11"/>
        <color theme="1"/>
        <rFont val="宋体"/>
        <family val="3"/>
        <charset val="134"/>
        <scheme val="minor"/>
      </rPr>
      <t>Cov(A,A)</t>
    </r>
    <phoneticPr fontId="7" type="noConversion"/>
  </si>
  <si>
    <t>w</t>
    <phoneticPr fontId="7" type="noConversion"/>
  </si>
  <si>
    <t>b</t>
    <phoneticPr fontId="7" type="noConversion"/>
  </si>
  <si>
    <t>练习11.6</t>
    <phoneticPr fontId="7" type="noConversion"/>
  </si>
  <si>
    <t>练习11.7</t>
    <phoneticPr fontId="7" type="noConversion"/>
  </si>
  <si>
    <t>练习11.8</t>
    <phoneticPr fontId="7" type="noConversion"/>
  </si>
  <si>
    <t>练习12.1</t>
    <phoneticPr fontId="7" type="noConversion"/>
  </si>
  <si>
    <r>
      <rPr>
        <sz val="10.5"/>
        <color theme="1"/>
        <rFont val="宋体"/>
        <family val="3"/>
        <charset val="134"/>
      </rPr>
      <t>参看</t>
    </r>
    <r>
      <rPr>
        <sz val="10.5"/>
        <color theme="1"/>
        <rFont val="Calibri"/>
        <family val="2"/>
      </rPr>
      <t>§12.1</t>
    </r>
    <r>
      <rPr>
        <sz val="10.5"/>
        <color theme="1"/>
        <rFont val="宋体"/>
        <family val="3"/>
        <charset val="134"/>
      </rPr>
      <t>的相关内容</t>
    </r>
    <phoneticPr fontId="7" type="noConversion"/>
  </si>
  <si>
    <r>
      <t>2</t>
    </r>
    <r>
      <rPr>
        <vertAlign val="superscript"/>
        <sz val="11"/>
        <color theme="1"/>
        <rFont val="宋体"/>
        <family val="3"/>
        <charset val="134"/>
        <scheme val="minor"/>
      </rPr>
      <t>n</t>
    </r>
    <phoneticPr fontId="7" type="noConversion"/>
  </si>
  <si>
    <t>练习12.2</t>
    <phoneticPr fontId="7" type="noConversion"/>
  </si>
  <si>
    <t>RIL</t>
    <phoneticPr fontId="7" type="noConversion"/>
  </si>
  <si>
    <t>均值</t>
    <phoneticPr fontId="7" type="noConversion"/>
  </si>
  <si>
    <t>方差</t>
    <phoneticPr fontId="7" type="noConversion"/>
  </si>
  <si>
    <t>练习12.3</t>
    <phoneticPr fontId="7" type="noConversion"/>
  </si>
  <si>
    <t>频率</t>
    <phoneticPr fontId="7" type="noConversion"/>
  </si>
  <si>
    <t>中亲值</t>
    <phoneticPr fontId="7" type="noConversion"/>
  </si>
  <si>
    <t>F1表现</t>
    <phoneticPr fontId="7" type="noConversion"/>
  </si>
  <si>
    <t>均值</t>
    <phoneticPr fontId="7" type="noConversion"/>
  </si>
  <si>
    <t>练习12.4</t>
    <phoneticPr fontId="7" type="noConversion"/>
  </si>
  <si>
    <t>p</t>
    <phoneticPr fontId="7" type="noConversion"/>
  </si>
  <si>
    <t>q</t>
    <phoneticPr fontId="7" type="noConversion"/>
  </si>
  <si>
    <t>a</t>
    <phoneticPr fontId="7" type="noConversion"/>
  </si>
  <si>
    <t>d</t>
    <phoneticPr fontId="7" type="noConversion"/>
  </si>
  <si>
    <t>-2pqd</t>
    <phoneticPr fontId="7" type="noConversion"/>
  </si>
  <si>
    <t>座位B</t>
    <phoneticPr fontId="7" type="noConversion"/>
  </si>
  <si>
    <t>座位C</t>
    <phoneticPr fontId="7" type="noConversion"/>
  </si>
  <si>
    <t>练习12.5</t>
    <phoneticPr fontId="7" type="noConversion"/>
  </si>
  <si>
    <t>基因型值</t>
    <phoneticPr fontId="7" type="noConversion"/>
  </si>
  <si>
    <t>频率</t>
    <phoneticPr fontId="7" type="noConversion"/>
  </si>
  <si>
    <t>m</t>
    <phoneticPr fontId="7" type="noConversion"/>
  </si>
  <si>
    <t>a1</t>
    <phoneticPr fontId="7" type="noConversion"/>
  </si>
  <si>
    <t>d1</t>
    <phoneticPr fontId="7" type="noConversion"/>
  </si>
  <si>
    <t>a2</t>
    <phoneticPr fontId="7" type="noConversion"/>
  </si>
  <si>
    <t>d2</t>
    <phoneticPr fontId="7" type="noConversion"/>
  </si>
  <si>
    <t>aa</t>
    <phoneticPr fontId="7" type="noConversion"/>
  </si>
  <si>
    <t>ad</t>
    <phoneticPr fontId="7" type="noConversion"/>
  </si>
  <si>
    <t>da</t>
    <phoneticPr fontId="7" type="noConversion"/>
  </si>
  <si>
    <t>dd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</si>
  <si>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</si>
  <si>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</si>
  <si>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</si>
  <si>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</si>
  <si>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</si>
  <si>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</si>
  <si>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</si>
  <si>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</si>
  <si>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</si>
  <si>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均值</t>
    <phoneticPr fontId="7" type="noConversion"/>
  </si>
  <si>
    <t>m</t>
    <phoneticPr fontId="7" type="noConversion"/>
  </si>
  <si>
    <t>a1</t>
    <phoneticPr fontId="7" type="noConversion"/>
  </si>
  <si>
    <t>d1</t>
    <phoneticPr fontId="7" type="noConversion"/>
  </si>
  <si>
    <t>a2</t>
    <phoneticPr fontId="7" type="noConversion"/>
  </si>
  <si>
    <t>d2</t>
    <phoneticPr fontId="7" type="noConversion"/>
  </si>
  <si>
    <t>ad</t>
    <phoneticPr fontId="7" type="noConversion"/>
  </si>
  <si>
    <t>da</t>
    <phoneticPr fontId="7" type="noConversion"/>
  </si>
  <si>
    <t>dd</t>
    <phoneticPr fontId="7" type="noConversion"/>
  </si>
  <si>
    <t>中亲</t>
    <phoneticPr fontId="7" type="noConversion"/>
  </si>
  <si>
    <t>中亲优势</t>
    <phoneticPr fontId="7" type="noConversion"/>
  </si>
  <si>
    <t>高亲优势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</si>
  <si>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</si>
  <si>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</si>
  <si>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</si>
  <si>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练习12.6</t>
    <phoneticPr fontId="7" type="noConversion"/>
  </si>
  <si>
    <t xml:space="preserve">重复I </t>
    <phoneticPr fontId="7" type="noConversion"/>
  </si>
  <si>
    <t>重复II</t>
    <phoneticPr fontId="7" type="noConversion"/>
  </si>
  <si>
    <t>亲本</t>
  </si>
  <si>
    <t>G</t>
    <phoneticPr fontId="7" type="noConversion"/>
  </si>
  <si>
    <t>预测值</t>
    <phoneticPr fontId="7" type="noConversion"/>
  </si>
  <si>
    <t>列效应</t>
    <phoneticPr fontId="7" type="noConversion"/>
  </si>
  <si>
    <t>方差估计(固定模型)</t>
    <phoneticPr fontId="7" type="noConversion"/>
  </si>
  <si>
    <t>误差</t>
    <phoneticPr fontId="7" type="noConversion"/>
  </si>
  <si>
    <t>练习12.7</t>
    <phoneticPr fontId="7" type="noConversion"/>
  </si>
  <si>
    <t>重复平均</t>
  </si>
  <si>
    <t>A</t>
  </si>
  <si>
    <t>B</t>
  </si>
  <si>
    <t>C</t>
  </si>
  <si>
    <t>D</t>
  </si>
  <si>
    <t>E</t>
  </si>
  <si>
    <t>行列平均</t>
    <phoneticPr fontId="7" type="noConversion"/>
  </si>
  <si>
    <t>总平均</t>
    <phoneticPr fontId="7" type="noConversion"/>
  </si>
  <si>
    <t>SCA</t>
    <phoneticPr fontId="7" type="noConversion"/>
  </si>
  <si>
    <t>GCA</t>
    <phoneticPr fontId="7" type="noConversion"/>
  </si>
  <si>
    <t>练习12.9</t>
    <phoneticPr fontId="7" type="noConversion"/>
  </si>
  <si>
    <t>练习12.10</t>
    <phoneticPr fontId="7" type="noConversion"/>
  </si>
  <si>
    <t>练习13.1</t>
    <phoneticPr fontId="48" type="noConversion"/>
  </si>
  <si>
    <t xml:space="preserve"> 从关系式1-r=(1-r1)(1-r2)+r1*r2推出</t>
    <phoneticPr fontId="48" type="noConversion"/>
  </si>
  <si>
    <t>练习13.2</t>
    <phoneticPr fontId="48" type="noConversion"/>
  </si>
  <si>
    <t>Act8A</t>
  </si>
  <si>
    <t>粒重</t>
    <phoneticPr fontId="48" type="noConversion"/>
  </si>
  <si>
    <t>DH3</t>
  </si>
  <si>
    <t>DH1</t>
    <phoneticPr fontId="48" type="noConversion"/>
  </si>
  <si>
    <t>DH5</t>
  </si>
  <si>
    <t>DH8</t>
  </si>
  <si>
    <t>DH9</t>
  </si>
  <si>
    <t>DH13</t>
  </si>
  <si>
    <t>DH16</t>
  </si>
  <si>
    <t>DH17</t>
  </si>
  <si>
    <t>DH18</t>
  </si>
  <si>
    <t>DH21</t>
  </si>
  <si>
    <t>DH22</t>
  </si>
  <si>
    <t>DH24</t>
  </si>
  <si>
    <t>DH25</t>
  </si>
  <si>
    <t>DH26</t>
  </si>
  <si>
    <t>DH28</t>
  </si>
  <si>
    <t>DH31</t>
  </si>
  <si>
    <t>DH32</t>
  </si>
  <si>
    <t>DH34</t>
  </si>
  <si>
    <t>DH36</t>
  </si>
  <si>
    <t>DH38</t>
  </si>
  <si>
    <t>DH39</t>
  </si>
  <si>
    <t>DH40</t>
  </si>
  <si>
    <t>DH41</t>
  </si>
  <si>
    <t>DH43</t>
  </si>
  <si>
    <t>DH44</t>
  </si>
  <si>
    <t>DH2</t>
  </si>
  <si>
    <t>DH4</t>
  </si>
  <si>
    <t>DH6</t>
  </si>
  <si>
    <t>DH7</t>
  </si>
  <si>
    <t>DH10</t>
  </si>
  <si>
    <t>DH11</t>
  </si>
  <si>
    <t>DH12</t>
  </si>
  <si>
    <t>DH14</t>
  </si>
  <si>
    <t>DH15</t>
  </si>
  <si>
    <t>DH19</t>
  </si>
  <si>
    <t>DH20</t>
  </si>
  <si>
    <t>DH23</t>
  </si>
  <si>
    <t>DH27</t>
  </si>
  <si>
    <t>DH29</t>
  </si>
  <si>
    <t>DH30</t>
  </si>
  <si>
    <t>DH33</t>
  </si>
  <si>
    <t>DH35</t>
  </si>
  <si>
    <t>DH37</t>
  </si>
  <si>
    <t>DH42</t>
  </si>
  <si>
    <t>DH45</t>
  </si>
  <si>
    <t>练习13.3</t>
    <phoneticPr fontId="48" type="noConversion"/>
  </si>
  <si>
    <t>r</t>
    <phoneticPr fontId="48" type="noConversion"/>
  </si>
  <si>
    <t>MQ</t>
    <phoneticPr fontId="48" type="noConversion"/>
  </si>
  <si>
    <t>Mq</t>
    <phoneticPr fontId="48" type="noConversion"/>
  </si>
  <si>
    <t>mQ</t>
    <phoneticPr fontId="48" type="noConversion"/>
  </si>
  <si>
    <t>mq</t>
    <phoneticPr fontId="48" type="noConversion"/>
  </si>
  <si>
    <t>QQ</t>
    <phoneticPr fontId="48" type="noConversion"/>
  </si>
  <si>
    <t>qq</t>
    <phoneticPr fontId="48" type="noConversion"/>
  </si>
  <si>
    <t>均值</t>
    <phoneticPr fontId="48" type="noConversion"/>
  </si>
  <si>
    <t>MM</t>
    <phoneticPr fontId="48" type="noConversion"/>
  </si>
  <si>
    <t>mm</t>
    <phoneticPr fontId="48" type="noConversion"/>
  </si>
  <si>
    <t>QQ</t>
    <phoneticPr fontId="48" type="noConversion"/>
  </si>
  <si>
    <t>qq</t>
    <phoneticPr fontId="48" type="noConversion"/>
  </si>
  <si>
    <t>MM</t>
    <phoneticPr fontId="48" type="noConversion"/>
  </si>
  <si>
    <t>N(20,4)</t>
    <phoneticPr fontId="48" type="noConversion"/>
  </si>
  <si>
    <t>N(10,4)</t>
    <phoneticPr fontId="48" type="noConversion"/>
  </si>
  <si>
    <t>混合分布</t>
    <phoneticPr fontId="48" type="noConversion"/>
  </si>
  <si>
    <t>练习13.4</t>
    <phoneticPr fontId="48" type="noConversion"/>
  </si>
  <si>
    <t>r</t>
    <phoneticPr fontId="48" type="noConversion"/>
  </si>
  <si>
    <t>MQ</t>
    <phoneticPr fontId="48" type="noConversion"/>
  </si>
  <si>
    <t>Mq</t>
    <phoneticPr fontId="48" type="noConversion"/>
  </si>
  <si>
    <t>mQ</t>
    <phoneticPr fontId="48" type="noConversion"/>
  </si>
  <si>
    <t>mq</t>
    <phoneticPr fontId="48" type="noConversion"/>
  </si>
  <si>
    <t xml:space="preserve"> </t>
    <phoneticPr fontId="48" type="noConversion"/>
  </si>
  <si>
    <t>QQ</t>
    <phoneticPr fontId="48" type="noConversion"/>
  </si>
  <si>
    <t>Qq</t>
    <phoneticPr fontId="48" type="noConversion"/>
  </si>
  <si>
    <t>QQ</t>
    <phoneticPr fontId="48" type="noConversion"/>
  </si>
  <si>
    <t>Qq</t>
    <phoneticPr fontId="48" type="noConversion"/>
  </si>
  <si>
    <t>qq</t>
    <phoneticPr fontId="48" type="noConversion"/>
  </si>
  <si>
    <t>均值</t>
    <phoneticPr fontId="48" type="noConversion"/>
  </si>
  <si>
    <t>均值</t>
    <phoneticPr fontId="48" type="noConversion"/>
  </si>
  <si>
    <t>MM</t>
    <phoneticPr fontId="48" type="noConversion"/>
  </si>
  <si>
    <t>Mm</t>
    <phoneticPr fontId="48" type="noConversion"/>
  </si>
  <si>
    <t>mm</t>
    <phoneticPr fontId="48" type="noConversion"/>
  </si>
  <si>
    <t>QQ</t>
    <phoneticPr fontId="48" type="noConversion"/>
  </si>
  <si>
    <t>Qq</t>
    <phoneticPr fontId="48" type="noConversion"/>
  </si>
  <si>
    <t>qq</t>
    <phoneticPr fontId="48" type="noConversion"/>
  </si>
  <si>
    <t>MM</t>
    <phoneticPr fontId="48" type="noConversion"/>
  </si>
  <si>
    <t>N(20,4)</t>
    <phoneticPr fontId="48" type="noConversion"/>
  </si>
  <si>
    <t>N(18,4)</t>
    <phoneticPr fontId="48" type="noConversion"/>
  </si>
  <si>
    <t>N(10,4)</t>
    <phoneticPr fontId="48" type="noConversion"/>
  </si>
  <si>
    <t>混合分布</t>
    <phoneticPr fontId="48" type="noConversion"/>
  </si>
  <si>
    <t>练习13.5</t>
    <phoneticPr fontId="48" type="noConversion"/>
  </si>
  <si>
    <t>rAQ</t>
    <phoneticPr fontId="48" type="noConversion"/>
  </si>
  <si>
    <t>rQB</t>
    <phoneticPr fontId="48" type="noConversion"/>
  </si>
  <si>
    <t>rAB</t>
    <phoneticPr fontId="48" type="noConversion"/>
  </si>
  <si>
    <t>qq</t>
    <phoneticPr fontId="48" type="noConversion"/>
  </si>
  <si>
    <t>频率</t>
    <phoneticPr fontId="48" type="noConversion"/>
  </si>
  <si>
    <t>QQ</t>
    <phoneticPr fontId="48" type="noConversion"/>
  </si>
  <si>
    <t>QQ</t>
    <phoneticPr fontId="48" type="noConversion"/>
  </si>
  <si>
    <t>qq</t>
    <phoneticPr fontId="48" type="noConversion"/>
  </si>
  <si>
    <t>均值</t>
    <phoneticPr fontId="48" type="noConversion"/>
  </si>
  <si>
    <t>AABB</t>
    <phoneticPr fontId="48" type="noConversion"/>
  </si>
  <si>
    <t>AAbb</t>
    <phoneticPr fontId="48" type="noConversion"/>
  </si>
  <si>
    <t>aaBB</t>
    <phoneticPr fontId="48" type="noConversion"/>
  </si>
  <si>
    <t>aabb</t>
    <phoneticPr fontId="48" type="noConversion"/>
  </si>
  <si>
    <t>练习13.6</t>
    <phoneticPr fontId="48" type="noConversion"/>
  </si>
  <si>
    <t>略</t>
    <phoneticPr fontId="48" type="noConversion"/>
  </si>
  <si>
    <t>练习13.7</t>
    <phoneticPr fontId="48" type="noConversion"/>
  </si>
  <si>
    <t>略</t>
    <phoneticPr fontId="48" type="noConversion"/>
  </si>
  <si>
    <r>
      <rPr>
        <sz val="11"/>
        <color theme="1"/>
        <rFont val="宋体"/>
        <family val="3"/>
        <charset val="134"/>
      </rPr>
      <t>显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隐</t>
    </r>
    <phoneticPr fontId="7" type="noConversion"/>
  </si>
  <si>
    <t>1/3</t>
    <phoneticPr fontId="7" type="noConversion"/>
  </si>
  <si>
    <t xml:space="preserve"> </t>
    <phoneticPr fontId="7" type="noConversion"/>
  </si>
  <si>
    <r>
      <t>(O-E)</t>
    </r>
    <r>
      <rPr>
        <vertAlign val="superscript"/>
        <sz val="10.5"/>
        <color theme="1"/>
        <rFont val="Times New Roman"/>
        <family val="1"/>
      </rPr>
      <t>2</t>
    </r>
    <r>
      <rPr>
        <sz val="10.5"/>
        <color theme="1"/>
        <rFont val="Times New Roman"/>
        <family val="1"/>
      </rPr>
      <t>/E</t>
    </r>
    <phoneticPr fontId="7" type="noConversion"/>
  </si>
  <si>
    <t>期望频率</t>
    <phoneticPr fontId="7" type="noConversion"/>
  </si>
  <si>
    <t>期望观测值</t>
    <phoneticPr fontId="7" type="noConversion"/>
  </si>
  <si>
    <t>混合群体平衡频率</t>
    <phoneticPr fontId="7" type="noConversion"/>
  </si>
  <si>
    <r>
      <rPr>
        <sz val="11"/>
        <color theme="1"/>
        <rFont val="宋体"/>
        <family val="3"/>
        <charset val="134"/>
      </rPr>
      <t>群体</t>
    </r>
    <phoneticPr fontId="7" type="noConversion"/>
  </si>
  <si>
    <t>等位基因</t>
    <phoneticPr fontId="7" type="noConversion"/>
  </si>
  <si>
    <t>基因型</t>
    <phoneticPr fontId="7" type="noConversion"/>
  </si>
  <si>
    <t>A</t>
    <phoneticPr fontId="7" type="noConversion"/>
  </si>
  <si>
    <t>a</t>
    <phoneticPr fontId="7" type="noConversion"/>
  </si>
  <si>
    <t>基因的平衡频率</t>
    <phoneticPr fontId="7" type="noConversion"/>
  </si>
  <si>
    <t>基因型的平衡频率</t>
    <phoneticPr fontId="7" type="noConversion"/>
  </si>
  <si>
    <r>
      <rPr>
        <sz val="11"/>
        <color theme="1"/>
        <rFont val="宋体"/>
        <family val="3"/>
        <charset val="134"/>
      </rPr>
      <t>公式</t>
    </r>
    <r>
      <rPr>
        <sz val="11"/>
        <color theme="1"/>
        <rFont val="Times New Roman"/>
        <family val="1"/>
      </rPr>
      <t>2.13</t>
    </r>
    <phoneticPr fontId="7" type="noConversion"/>
  </si>
  <si>
    <t>(1)</t>
    <phoneticPr fontId="7" type="noConversion"/>
  </si>
  <si>
    <t>(2)</t>
    <phoneticPr fontId="7" type="noConversion"/>
  </si>
  <si>
    <t>岛屿群体=突变群体</t>
    <phoneticPr fontId="7" type="noConversion"/>
  </si>
  <si>
    <t>大陆群体=野生群体</t>
    <phoneticPr fontId="7" type="noConversion"/>
  </si>
  <si>
    <t>观测值</t>
    <phoneticPr fontId="7" type="noConversion"/>
  </si>
  <si>
    <t xml:space="preserve"> </t>
    <phoneticPr fontId="7" type="noConversion"/>
  </si>
  <si>
    <t>群体</t>
    <phoneticPr fontId="7" type="noConversion"/>
  </si>
  <si>
    <t>与图2.4A相比较，等位基因a频率q下降得更快</t>
    <phoneticPr fontId="7" type="noConversion"/>
  </si>
  <si>
    <t>基因a的频率</t>
    <phoneticPr fontId="7" type="noConversion"/>
  </si>
  <si>
    <r>
      <t>[pq(1-s)+q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]/[1-s(1-q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)]=(q-sq+sq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)/[1-s(1-q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)]</t>
    </r>
    <phoneticPr fontId="7" type="noConversion"/>
  </si>
  <si>
    <t>选择前频率</t>
    <phoneticPr fontId="7" type="noConversion"/>
  </si>
  <si>
    <t>标准化频率</t>
    <phoneticPr fontId="7" type="noConversion"/>
  </si>
  <si>
    <t>选择后等位基因频率</t>
    <phoneticPr fontId="7" type="noConversion"/>
  </si>
  <si>
    <t>总和</t>
    <phoneticPr fontId="7" type="noConversion"/>
  </si>
  <si>
    <r>
      <rPr>
        <sz val="11"/>
        <color theme="1"/>
        <rFont val="宋体"/>
        <family val="3"/>
        <charset val="134"/>
      </rPr>
      <t>选择前</t>
    </r>
    <phoneticPr fontId="7" type="noConversion"/>
  </si>
  <si>
    <t xml:space="preserve"> </t>
    <phoneticPr fontId="7" type="noConversion"/>
  </si>
  <si>
    <r>
      <rPr>
        <sz val="11"/>
        <color theme="1"/>
        <rFont val="宋体"/>
        <family val="3"/>
        <charset val="134"/>
      </rPr>
      <t>选择后</t>
    </r>
    <phoneticPr fontId="7" type="noConversion"/>
  </si>
  <si>
    <r>
      <rPr>
        <sz val="11"/>
        <color theme="1"/>
        <rFont val="宋体"/>
        <family val="3"/>
        <charset val="134"/>
      </rPr>
      <t>相对频率</t>
    </r>
    <phoneticPr fontId="7" type="noConversion"/>
  </si>
  <si>
    <r>
      <rPr>
        <sz val="11"/>
        <color theme="1"/>
        <rFont val="宋体"/>
        <family val="3"/>
        <charset val="134"/>
      </rPr>
      <t>基因型</t>
    </r>
    <phoneticPr fontId="7" type="noConversion"/>
  </si>
  <si>
    <r>
      <rPr>
        <sz val="11"/>
        <color theme="1"/>
        <rFont val="宋体"/>
        <family val="3"/>
        <charset val="134"/>
      </rPr>
      <t>总和</t>
    </r>
    <phoneticPr fontId="7" type="noConversion"/>
  </si>
  <si>
    <t>座位C</t>
    <phoneticPr fontId="7" type="noConversion"/>
  </si>
  <si>
    <r>
      <rPr>
        <sz val="11"/>
        <color theme="1"/>
        <rFont val="宋体"/>
        <family val="3"/>
        <charset val="134"/>
      </rPr>
      <t>杂合度</t>
    </r>
    <phoneticPr fontId="7" type="noConversion"/>
  </si>
  <si>
    <r>
      <rPr>
        <sz val="11"/>
        <color theme="1"/>
        <rFont val="宋体"/>
        <family val="3"/>
        <charset val="134"/>
      </rPr>
      <t>平均杂合度</t>
    </r>
    <phoneticPr fontId="7" type="noConversion"/>
  </si>
  <si>
    <r>
      <rPr>
        <sz val="11"/>
        <color theme="1"/>
        <rFont val="宋体"/>
        <family val="3"/>
        <charset val="134"/>
      </rPr>
      <t>等位基因</t>
    </r>
    <phoneticPr fontId="7" type="noConversion"/>
  </si>
  <si>
    <r>
      <rPr>
        <sz val="11"/>
        <color theme="1"/>
        <rFont val="宋体"/>
        <family val="3"/>
        <charset val="134"/>
      </rPr>
      <t>座位</t>
    </r>
    <phoneticPr fontId="7" type="noConversion"/>
  </si>
  <si>
    <t>频率/杂合度</t>
    <phoneticPr fontId="7" type="noConversion"/>
  </si>
  <si>
    <r>
      <t>-p(1-p)(1-3p)/(2p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+q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)</t>
    </r>
    <phoneticPr fontId="7" type="noConversion"/>
  </si>
  <si>
    <t>世代</t>
    <phoneticPr fontId="7" type="noConversion"/>
  </si>
  <si>
    <r>
      <t>A</t>
    </r>
    <r>
      <rPr>
        <sz val="11"/>
        <color theme="1"/>
        <rFont val="宋体"/>
        <family val="3"/>
        <charset val="134"/>
      </rPr>
      <t>频率</t>
    </r>
    <phoneticPr fontId="7" type="noConversion"/>
  </si>
  <si>
    <t>V(p)</t>
    <phoneticPr fontId="7" type="noConversion"/>
  </si>
  <si>
    <t>取值概率</t>
    <phoneticPr fontId="7" type="noConversion"/>
  </si>
  <si>
    <t>X1</t>
    <phoneticPr fontId="7" type="noConversion"/>
  </si>
  <si>
    <t>X2</t>
  </si>
  <si>
    <t>X3</t>
  </si>
  <si>
    <t>AA=2</t>
    <phoneticPr fontId="7" type="noConversion"/>
  </si>
  <si>
    <t>Aa=2</t>
    <phoneticPr fontId="7" type="noConversion"/>
  </si>
  <si>
    <t>aa=2</t>
    <phoneticPr fontId="7" type="noConversion"/>
  </si>
  <si>
    <t xml:space="preserve"> </t>
    <phoneticPr fontId="7" type="noConversion"/>
  </si>
  <si>
    <t>多于6个的概率</t>
    <phoneticPr fontId="7" type="noConversion"/>
  </si>
  <si>
    <r>
      <t>（5）F</t>
    </r>
    <r>
      <rPr>
        <vertAlign val="subscript"/>
        <sz val="11"/>
        <color theme="1"/>
        <rFont val="宋体"/>
        <family val="3"/>
        <charset val="134"/>
        <scheme val="minor"/>
      </rPr>
      <t>31</t>
    </r>
    <r>
      <rPr>
        <sz val="11"/>
        <color theme="1"/>
        <rFont val="宋体"/>
        <family val="2"/>
        <scheme val="minor"/>
      </rPr>
      <t>=1；F</t>
    </r>
    <r>
      <rPr>
        <vertAlign val="subscript"/>
        <sz val="11"/>
        <color theme="1"/>
        <rFont val="宋体"/>
        <family val="3"/>
        <charset val="134"/>
        <scheme val="minor"/>
      </rPr>
      <t>32</t>
    </r>
    <r>
      <rPr>
        <sz val="11"/>
        <color theme="1"/>
        <rFont val="宋体"/>
        <family val="2"/>
        <scheme val="minor"/>
      </rPr>
      <t>=0；F</t>
    </r>
    <r>
      <rPr>
        <vertAlign val="subscript"/>
        <sz val="11"/>
        <color theme="1"/>
        <rFont val="宋体"/>
        <family val="3"/>
        <charset val="134"/>
        <scheme val="minor"/>
      </rPr>
      <t>33</t>
    </r>
    <r>
      <rPr>
        <sz val="11"/>
        <color theme="1"/>
        <rFont val="宋体"/>
        <family val="2"/>
        <scheme val="minor"/>
      </rPr>
      <t>=0</t>
    </r>
    <phoneticPr fontId="7" type="noConversion"/>
  </si>
  <si>
    <t>观测值</t>
    <phoneticPr fontId="7" type="noConversion"/>
  </si>
  <si>
    <t>基因型频率</t>
    <phoneticPr fontId="7" type="noConversion"/>
  </si>
  <si>
    <t>基因A的频率p</t>
    <phoneticPr fontId="7" type="noConversion"/>
  </si>
  <si>
    <t>基因a的频率q</t>
    <phoneticPr fontId="7" type="noConversion"/>
  </si>
  <si>
    <t>总样本量</t>
    <phoneticPr fontId="7" type="noConversion"/>
  </si>
  <si>
    <t xml:space="preserve"> </t>
    <phoneticPr fontId="7" type="noConversion"/>
  </si>
  <si>
    <t>公式4.7</t>
    <phoneticPr fontId="7" type="noConversion"/>
  </si>
  <si>
    <t>f88</t>
    <phoneticPr fontId="7" type="noConversion"/>
  </si>
  <si>
    <t>平均杂合度</t>
    <phoneticPr fontId="7" type="noConversion"/>
  </si>
  <si>
    <t>采集种子数N</t>
    <phoneticPr fontId="7" type="noConversion"/>
  </si>
  <si>
    <t xml:space="preserve"> </t>
    <phoneticPr fontId="7" type="noConversion"/>
  </si>
  <si>
    <t>E(T)</t>
    <phoneticPr fontId="7" type="noConversion"/>
  </si>
  <si>
    <t>公式5.14</t>
    <phoneticPr fontId="7" type="noConversion"/>
  </si>
  <si>
    <t>E(T)</t>
    <phoneticPr fontId="7" type="noConversion"/>
  </si>
  <si>
    <t>公式5.15</t>
  </si>
  <si>
    <t>多态位点</t>
    <phoneticPr fontId="7" type="noConversion"/>
  </si>
  <si>
    <t>（3）公式5.31</t>
    <phoneticPr fontId="7" type="noConversion"/>
  </si>
  <si>
    <t>（4）公式5.33</t>
    <phoneticPr fontId="7" type="noConversion"/>
  </si>
  <si>
    <t>Sita估计</t>
    <phoneticPr fontId="7" type="noConversion"/>
  </si>
  <si>
    <t>估计方差</t>
    <phoneticPr fontId="7" type="noConversion"/>
  </si>
  <si>
    <t>n=</t>
    <phoneticPr fontId="7" type="noConversion"/>
  </si>
  <si>
    <t>2N=</t>
    <phoneticPr fontId="7" type="noConversion"/>
  </si>
  <si>
    <t xml:space="preserve"> </t>
    <phoneticPr fontId="7" type="noConversion"/>
  </si>
  <si>
    <t>期望融合时间</t>
    <phoneticPr fontId="7" type="noConversion"/>
  </si>
  <si>
    <t>基因个数k</t>
    <phoneticPr fontId="7" type="noConversion"/>
  </si>
  <si>
    <t>融合事件</t>
    <phoneticPr fontId="7" type="noConversion"/>
  </si>
  <si>
    <t>N</t>
    <phoneticPr fontId="7" type="noConversion"/>
  </si>
  <si>
    <t>u</t>
    <phoneticPr fontId="7" type="noConversion"/>
  </si>
  <si>
    <r>
      <rPr>
        <sz val="11"/>
        <color theme="1"/>
        <rFont val="宋体"/>
        <family val="3"/>
        <charset val="134"/>
      </rPr>
      <t>θ</t>
    </r>
    <r>
      <rPr>
        <sz val="11"/>
        <color theme="1"/>
        <rFont val="宋体"/>
        <family val="2"/>
      </rPr>
      <t>=4</t>
    </r>
    <r>
      <rPr>
        <sz val="11"/>
        <color theme="1"/>
        <rFont val="宋体"/>
        <family val="2"/>
        <scheme val="minor"/>
      </rPr>
      <t>Nu</t>
    </r>
    <phoneticPr fontId="7" type="noConversion"/>
  </si>
  <si>
    <t>n=20</t>
    <phoneticPr fontId="7" type="noConversion"/>
  </si>
  <si>
    <t>n1</t>
    <phoneticPr fontId="7" type="noConversion"/>
  </si>
  <si>
    <t>n2</t>
    <phoneticPr fontId="7" type="noConversion"/>
  </si>
  <si>
    <t>i=0,n-1</t>
    <phoneticPr fontId="7" type="noConversion"/>
  </si>
  <si>
    <r>
      <rPr>
        <sz val="11"/>
        <color theme="1"/>
        <rFont val="宋体"/>
        <family val="3"/>
        <charset val="134"/>
      </rPr>
      <t>θ</t>
    </r>
    <r>
      <rPr>
        <sz val="11"/>
        <color theme="1"/>
        <rFont val="宋体"/>
        <family val="2"/>
      </rPr>
      <t>+i</t>
    </r>
    <phoneticPr fontId="7" type="noConversion"/>
  </si>
  <si>
    <r>
      <t>S</t>
    </r>
    <r>
      <rPr>
        <vertAlign val="subscript"/>
        <sz val="11"/>
        <color theme="1"/>
        <rFont val="Times New Roman"/>
        <family val="1"/>
      </rPr>
      <t>n</t>
    </r>
    <r>
      <rPr>
        <sz val="11"/>
        <color theme="1"/>
        <rFont val="Times New Roman"/>
        <family val="1"/>
      </rPr>
      <t>(θ)</t>
    </r>
    <phoneticPr fontId="7" type="noConversion"/>
  </si>
  <si>
    <t>k=2</t>
    <phoneticPr fontId="7" type="noConversion"/>
  </si>
  <si>
    <t>概率</t>
    <phoneticPr fontId="7" type="noConversion"/>
  </si>
  <si>
    <t>k=2概率</t>
    <phoneticPr fontId="7" type="noConversion"/>
  </si>
  <si>
    <t>总和</t>
    <phoneticPr fontId="7" type="noConversion"/>
  </si>
  <si>
    <t>练习（1）</t>
    <phoneticPr fontId="7" type="noConversion"/>
  </si>
  <si>
    <t>练习（2）</t>
    <phoneticPr fontId="7" type="noConversion"/>
  </si>
  <si>
    <t>世代</t>
    <phoneticPr fontId="7" type="noConversion"/>
  </si>
  <si>
    <t>近交系数</t>
    <phoneticPr fontId="7" type="noConversion"/>
  </si>
  <si>
    <t>群体</t>
    <phoneticPr fontId="7" type="noConversion"/>
  </si>
  <si>
    <t>(3)回归系数</t>
    <phoneticPr fontId="7" type="noConversion"/>
  </si>
  <si>
    <t>（2）r的检验的P值</t>
    <phoneticPr fontId="7" type="noConversion"/>
  </si>
  <si>
    <t>（2）r的检验的t值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</si>
  <si>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</si>
  <si>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</si>
  <si>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</si>
  <si>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显著概率</t>
    <phoneticPr fontId="7" type="noConversion"/>
  </si>
  <si>
    <t>利用‘数据分析’中的‘回归’得到的结果，每个X和Y观测值要排成一行</t>
    <phoneticPr fontId="7" type="noConversion"/>
  </si>
  <si>
    <t>变异来源</t>
    <phoneticPr fontId="7" type="noConversion"/>
  </si>
  <si>
    <t>杂种F1</t>
    <phoneticPr fontId="7" type="noConversion"/>
  </si>
  <si>
    <t>F2的频率</t>
    <phoneticPr fontId="7" type="noConversion"/>
  </si>
  <si>
    <t>亲本P1</t>
    <phoneticPr fontId="7" type="noConversion"/>
  </si>
  <si>
    <t>亲本P2</t>
    <phoneticPr fontId="7" type="noConversion"/>
  </si>
  <si>
    <t>群体均值</t>
    <phoneticPr fontId="7" type="noConversion"/>
  </si>
  <si>
    <t>群体方差</t>
    <phoneticPr fontId="7" type="noConversion"/>
  </si>
  <si>
    <t>增效基因个数</t>
    <phoneticPr fontId="7" type="noConversion"/>
  </si>
  <si>
    <t>F2群体</t>
    <phoneticPr fontId="7" type="noConversion"/>
  </si>
  <si>
    <t>表型</t>
    <phoneticPr fontId="7" type="noConversion"/>
  </si>
  <si>
    <t>增效基因个数对应的成分分布</t>
    <phoneticPr fontId="7" type="noConversion"/>
  </si>
  <si>
    <t>自由度</t>
    <phoneticPr fontId="7" type="noConversion"/>
  </si>
  <si>
    <t>基因型值</t>
    <phoneticPr fontId="7" type="noConversion"/>
  </si>
  <si>
    <t>p的MLE等于样本均值</t>
    <phoneticPr fontId="7" type="noConversion"/>
  </si>
  <si>
    <r>
      <t>Cov(X,Y)=</t>
    </r>
    <r>
      <rPr>
        <sz val="11"/>
        <color theme="1"/>
        <rFont val="宋体"/>
        <family val="3"/>
        <charset val="134"/>
      </rPr>
      <t>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G</t>
    </r>
    <r>
      <rPr>
        <sz val="11"/>
        <color theme="1"/>
        <rFont val="宋体"/>
        <family val="2"/>
      </rPr>
      <t>; V(X)=σ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P</t>
    </r>
    <r>
      <rPr>
        <sz val="11"/>
        <color theme="1"/>
        <rFont val="宋体"/>
        <family val="2"/>
      </rPr>
      <t>; V(Y)=σ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P</t>
    </r>
    <r>
      <rPr>
        <sz val="11"/>
        <color theme="1"/>
        <rFont val="宋体"/>
        <family val="2"/>
      </rPr>
      <t xml:space="preserve">; </t>
    </r>
    <phoneticPr fontId="7" type="noConversion"/>
  </si>
  <si>
    <r>
      <t>b</t>
    </r>
    <r>
      <rPr>
        <sz val="11"/>
        <color theme="1"/>
        <rFont val="宋体"/>
        <family val="2"/>
        <scheme val="minor"/>
      </rPr>
      <t>=Cov(X,Y)/V(X)=</t>
    </r>
    <r>
      <rPr>
        <sz val="11"/>
        <color theme="1"/>
        <rFont val="宋体"/>
        <family val="3"/>
        <charset val="134"/>
      </rPr>
      <t>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G</t>
    </r>
    <r>
      <rPr>
        <sz val="11"/>
        <color theme="1"/>
        <rFont val="宋体"/>
        <family val="3"/>
        <charset val="134"/>
      </rPr>
      <t>/</t>
    </r>
    <r>
      <rPr>
        <sz val="11"/>
        <color theme="1"/>
        <rFont val="宋体"/>
        <family val="2"/>
      </rPr>
      <t>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P</t>
    </r>
    <r>
      <rPr>
        <sz val="11"/>
        <color theme="1"/>
        <rFont val="宋体"/>
        <family val="3"/>
        <charset val="134"/>
      </rPr>
      <t>=H</t>
    </r>
    <r>
      <rPr>
        <vertAlign val="superscript"/>
        <sz val="11"/>
        <color theme="1"/>
        <rFont val="宋体"/>
        <family val="3"/>
        <charset val="134"/>
      </rPr>
      <t>2</t>
    </r>
    <r>
      <rPr>
        <sz val="11"/>
        <color theme="1"/>
        <rFont val="宋体"/>
        <family val="2"/>
      </rPr>
      <t>; r=b</t>
    </r>
    <phoneticPr fontId="7" type="noConversion"/>
  </si>
  <si>
    <t xml:space="preserve"> </t>
    <phoneticPr fontId="7" type="noConversion"/>
  </si>
  <si>
    <r>
      <rPr>
        <sz val="11"/>
        <color theme="1"/>
        <rFont val="宋体"/>
        <family val="2"/>
        <scheme val="minor"/>
      </rPr>
      <t>r=Cov(X,Y)/SQRT(V(X)*V(Y))=</t>
    </r>
    <r>
      <rPr>
        <sz val="11"/>
        <color theme="1"/>
        <rFont val="宋体"/>
        <family val="3"/>
        <charset val="134"/>
      </rPr>
      <t>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G</t>
    </r>
    <r>
      <rPr>
        <sz val="11"/>
        <color theme="1"/>
        <rFont val="宋体"/>
        <family val="3"/>
        <charset val="134"/>
      </rPr>
      <t>/</t>
    </r>
    <r>
      <rPr>
        <sz val="11"/>
        <color theme="1"/>
        <rFont val="宋体"/>
        <family val="2"/>
      </rPr>
      <t>σ</t>
    </r>
    <r>
      <rPr>
        <vertAlign val="superscript"/>
        <sz val="11"/>
        <color theme="1"/>
        <rFont val="宋体"/>
        <family val="3"/>
        <charset val="134"/>
      </rPr>
      <t>2</t>
    </r>
    <r>
      <rPr>
        <vertAlign val="subscript"/>
        <sz val="11"/>
        <color theme="1"/>
        <rFont val="宋体"/>
        <family val="3"/>
        <charset val="134"/>
      </rPr>
      <t>P</t>
    </r>
    <r>
      <rPr>
        <sz val="11"/>
        <color theme="1"/>
        <rFont val="宋体"/>
        <family val="3"/>
        <charset val="134"/>
      </rPr>
      <t>=H</t>
    </r>
    <r>
      <rPr>
        <vertAlign val="superscript"/>
        <sz val="11"/>
        <color theme="1"/>
        <rFont val="宋体"/>
        <family val="3"/>
        <charset val="134"/>
      </rPr>
      <t>2</t>
    </r>
    <r>
      <rPr>
        <sz val="11"/>
        <color theme="1"/>
        <rFont val="宋体"/>
        <family val="2"/>
      </rPr>
      <t>; r=b</t>
    </r>
    <phoneticPr fontId="7" type="noConversion"/>
  </si>
  <si>
    <t xml:space="preserve"> </t>
    <phoneticPr fontId="7" type="noConversion"/>
  </si>
  <si>
    <t xml:space="preserve">公式6.73 </t>
    <phoneticPr fontId="7" type="noConversion"/>
  </si>
  <si>
    <t>P值</t>
    <phoneticPr fontId="7" type="noConversion"/>
  </si>
  <si>
    <t>回归系数</t>
    <phoneticPr fontId="7" type="noConversion"/>
  </si>
  <si>
    <t>平方和</t>
    <phoneticPr fontId="7" type="noConversion"/>
  </si>
  <si>
    <t>自由度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</si>
  <si>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</si>
  <si>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</si>
  <si>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</si>
  <si>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遗传方差</t>
    <phoneticPr fontId="7" type="noConversion"/>
  </si>
  <si>
    <t>误差方差</t>
    <phoneticPr fontId="7" type="noConversion"/>
  </si>
  <si>
    <t>单株遗传力</t>
    <phoneticPr fontId="7" type="noConversion"/>
  </si>
  <si>
    <t>重复平均数遗传力</t>
    <phoneticPr fontId="7" type="noConversion"/>
  </si>
  <si>
    <t>遗传参数</t>
    <phoneticPr fontId="7" type="noConversion"/>
  </si>
  <si>
    <t>估计值</t>
    <phoneticPr fontId="7" type="noConversion"/>
  </si>
  <si>
    <t>练习7.2</t>
    <phoneticPr fontId="7" type="noConversion"/>
  </si>
  <si>
    <t>区组1</t>
    <phoneticPr fontId="7" type="noConversion"/>
  </si>
  <si>
    <t>方差分析表</t>
    <phoneticPr fontId="7" type="noConversion"/>
  </si>
  <si>
    <t>变异来源</t>
    <phoneticPr fontId="7" type="noConversion"/>
  </si>
  <si>
    <t>基因型间</t>
    <phoneticPr fontId="7" type="noConversion"/>
  </si>
  <si>
    <t>随机误差</t>
    <phoneticPr fontId="7" type="noConversion"/>
  </si>
  <si>
    <t>SUMMARY</t>
  </si>
  <si>
    <t>观测数</t>
  </si>
  <si>
    <t>求和</t>
  </si>
  <si>
    <t>平均</t>
  </si>
  <si>
    <t>方差</t>
  </si>
  <si>
    <t>行 1</t>
  </si>
  <si>
    <t>行 2</t>
  </si>
  <si>
    <t>行 3</t>
  </si>
  <si>
    <t>行 4</t>
  </si>
  <si>
    <t>行 5</t>
  </si>
  <si>
    <t>行 6</t>
  </si>
  <si>
    <t>行 7</t>
  </si>
  <si>
    <t>行 8</t>
  </si>
  <si>
    <t>行 9</t>
  </si>
  <si>
    <t>行 10</t>
  </si>
  <si>
    <t>列 1</t>
  </si>
  <si>
    <t>列 2</t>
  </si>
  <si>
    <t>区组间</t>
    <phoneticPr fontId="7" type="noConversion"/>
  </si>
  <si>
    <t>总计</t>
    <phoneticPr fontId="7" type="noConversion"/>
  </si>
  <si>
    <t>方差分析：单因素方差分析</t>
  </si>
  <si>
    <t>组</t>
  </si>
  <si>
    <t>行 11</t>
  </si>
  <si>
    <t>行 12</t>
  </si>
  <si>
    <t>行 13</t>
  </si>
  <si>
    <t>行 14</t>
  </si>
  <si>
    <t>行 15</t>
  </si>
  <si>
    <t>行 16</t>
  </si>
  <si>
    <t>行 17</t>
  </si>
  <si>
    <t>行 18</t>
  </si>
  <si>
    <t>行 19</t>
  </si>
  <si>
    <t>行 20</t>
  </si>
  <si>
    <t>组间</t>
  </si>
  <si>
    <t>组内</t>
  </si>
  <si>
    <t xml:space="preserve"> </t>
    <phoneticPr fontId="7" type="noConversion"/>
  </si>
  <si>
    <t>行平均</t>
    <phoneticPr fontId="7" type="noConversion"/>
  </si>
  <si>
    <t>行效应</t>
    <phoneticPr fontId="7" type="noConversion"/>
  </si>
  <si>
    <t>总平均</t>
    <phoneticPr fontId="7" type="noConversion"/>
  </si>
  <si>
    <t>列平均</t>
    <phoneticPr fontId="7" type="noConversion"/>
  </si>
  <si>
    <t>列效应</t>
    <phoneticPr fontId="7" type="noConversion"/>
  </si>
  <si>
    <t>F2群体概率密度</t>
    <phoneticPr fontId="7" type="noConversion"/>
  </si>
  <si>
    <r>
      <rPr>
        <sz val="10.5"/>
        <color theme="1"/>
        <rFont val="宋体"/>
        <family val="2"/>
      </rPr>
      <t>群体</t>
    </r>
    <phoneticPr fontId="7" type="noConversion"/>
  </si>
  <si>
    <t>ab</t>
    <phoneticPr fontId="7" type="noConversion"/>
  </si>
  <si>
    <t>基因型</t>
    <phoneticPr fontId="7" type="noConversion"/>
  </si>
  <si>
    <t>基因型值</t>
    <phoneticPr fontId="7" type="noConversion"/>
  </si>
  <si>
    <t>频率</t>
    <phoneticPr fontId="7" type="noConversion"/>
  </si>
  <si>
    <t>(1)群体均值</t>
    <phoneticPr fontId="7" type="noConversion"/>
  </si>
  <si>
    <t>(1)遗传方差</t>
    <phoneticPr fontId="7" type="noConversion"/>
  </si>
  <si>
    <t>(2)遗传效应</t>
    <phoneticPr fontId="7" type="noConversion"/>
  </si>
  <si>
    <t>练习8.1</t>
    <phoneticPr fontId="7" type="noConversion"/>
  </si>
  <si>
    <r>
      <t>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</si>
  <si>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育种值A</t>
    <phoneticPr fontId="7" type="noConversion"/>
  </si>
  <si>
    <t>显性离差D</t>
    <phoneticPr fontId="7" type="noConversion"/>
  </si>
  <si>
    <r>
      <t>-2q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</t>
    </r>
    <phoneticPr fontId="7" type="noConversion"/>
  </si>
  <si>
    <r>
      <t>-2p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</t>
    </r>
    <phoneticPr fontId="7" type="noConversion"/>
  </si>
  <si>
    <r>
      <t>E(A)=p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*2qα+2pq*(q-p)α+q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*(-2pα)=0</t>
    </r>
    <phoneticPr fontId="7" type="noConversion"/>
  </si>
  <si>
    <r>
      <t>E(D)=p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*(-2q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d)+2pq*(2pqd)+q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*(-2p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d)=0</t>
    </r>
    <phoneticPr fontId="7" type="noConversion"/>
  </si>
  <si>
    <r>
      <t>E(AD)=p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*(2qα)*(-2q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d)+2pq*(q-p)α*(2pqd)+q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*(2qα)</t>
    </r>
    <r>
      <rPr>
        <vertAlign val="superscript"/>
        <sz val="11"/>
        <color theme="1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(-2p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d)=0</t>
    </r>
    <phoneticPr fontId="7" type="noConversion"/>
  </si>
  <si>
    <t>练习8.2</t>
    <phoneticPr fontId="7" type="noConversion"/>
  </si>
  <si>
    <t>(4)育种值</t>
    <phoneticPr fontId="7" type="noConversion"/>
  </si>
  <si>
    <t>(4)显性离差</t>
    <phoneticPr fontId="7" type="noConversion"/>
  </si>
  <si>
    <t>(5)加性方差</t>
    <phoneticPr fontId="7" type="noConversion"/>
  </si>
  <si>
    <t>(5)遗传方差</t>
    <phoneticPr fontId="7" type="noConversion"/>
  </si>
  <si>
    <t>练习8.3</t>
    <phoneticPr fontId="7" type="noConversion"/>
  </si>
  <si>
    <t>练习8.4</t>
    <phoneticPr fontId="7" type="noConversion"/>
  </si>
  <si>
    <t>练习8.5</t>
    <phoneticPr fontId="7" type="noConversion"/>
  </si>
  <si>
    <t>基因型值Y</t>
    <phoneticPr fontId="7" type="noConversion"/>
  </si>
  <si>
    <t>A1的个数X</t>
    <phoneticPr fontId="7" type="noConversion"/>
  </si>
  <si>
    <r>
      <t>(1) E(X)=p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*2+2pq=2p; E(Y)=(p-q)a+2pqd</t>
    </r>
    <phoneticPr fontId="7" type="noConversion"/>
  </si>
  <si>
    <r>
      <t>(2)V(X)=p2*4+2pq-(2p)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=2pq</t>
    </r>
    <phoneticPr fontId="7" type="noConversion"/>
  </si>
  <si>
    <t>(4)回归系数=α，截距=E(Y)-b*E(X)</t>
    <phoneticPr fontId="7" type="noConversion"/>
  </si>
  <si>
    <t>练习8.6</t>
    <phoneticPr fontId="7" type="noConversion"/>
  </si>
  <si>
    <t>联合频率</t>
    <phoneticPr fontId="7" type="noConversion"/>
  </si>
  <si>
    <t>显性离差</t>
    <phoneticPr fontId="7" type="noConversion"/>
  </si>
  <si>
    <t>练习8.7</t>
    <phoneticPr fontId="7" type="noConversion"/>
  </si>
  <si>
    <t>等位基因</t>
    <phoneticPr fontId="7" type="noConversion"/>
  </si>
  <si>
    <t>半同胞家系基因型的频率</t>
    <phoneticPr fontId="7" type="noConversion"/>
  </si>
  <si>
    <t>家系均值</t>
    <phoneticPr fontId="7" type="noConversion"/>
  </si>
  <si>
    <t>家系方差</t>
    <phoneticPr fontId="7" type="noConversion"/>
  </si>
  <si>
    <t>练习8.8</t>
    <phoneticPr fontId="7" type="noConversion"/>
  </si>
  <si>
    <t>中亲</t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</si>
  <si>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 xml:space="preserve"> </t>
    </r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</si>
  <si>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 xml:space="preserve"> </t>
    </r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</si>
  <si>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 xml:space="preserve"> </t>
    </r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</si>
  <si>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 xml:space="preserve"> </t>
    </r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</si>
  <si>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 xml:space="preserve"> </t>
    </r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</si>
  <si>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×A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 xml:space="preserve"> </t>
    </r>
  </si>
  <si>
    <t>练习8.9</t>
    <phoneticPr fontId="7" type="noConversion"/>
  </si>
  <si>
    <t>练习8.10</t>
    <phoneticPr fontId="7" type="noConversion"/>
  </si>
  <si>
    <t>F2群体频率</t>
    <phoneticPr fontId="7" type="noConversion"/>
  </si>
  <si>
    <t>F3群体频率</t>
    <phoneticPr fontId="7" type="noConversion"/>
  </si>
  <si>
    <t>RIL群体频率</t>
    <phoneticPr fontId="7" type="noConversion"/>
  </si>
  <si>
    <t>AA或BB</t>
    <phoneticPr fontId="7" type="noConversion"/>
  </si>
  <si>
    <t>Aa或Bb</t>
    <phoneticPr fontId="7" type="noConversion"/>
  </si>
  <si>
    <t>aa或bb</t>
    <phoneticPr fontId="7" type="noConversion"/>
  </si>
  <si>
    <t>练习8.11</t>
    <phoneticPr fontId="7" type="noConversion"/>
  </si>
  <si>
    <t>遗传方差</t>
    <phoneticPr fontId="7" type="noConversion"/>
  </si>
  <si>
    <t>（3）座位A</t>
    <phoneticPr fontId="7" type="noConversion"/>
  </si>
  <si>
    <t>（3）座位B</t>
    <phoneticPr fontId="7" type="noConversion"/>
  </si>
  <si>
    <t>（4）互作</t>
    <phoneticPr fontId="7" type="noConversion"/>
  </si>
  <si>
    <t>（5）比例</t>
    <phoneticPr fontId="7" type="noConversion"/>
  </si>
  <si>
    <r>
      <t>(3)Cov(X,Y)=p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*a*2+2pq*d*1-2p*[(p-q)a+2pqd]=2pq[a+(q-p)d]=2pqα</t>
    </r>
    <phoneticPr fontId="7" type="noConversion"/>
  </si>
  <si>
    <t xml:space="preserve"> </t>
    <phoneticPr fontId="7" type="noConversion"/>
  </si>
  <si>
    <t>基因型值</t>
    <phoneticPr fontId="7" type="noConversion"/>
  </si>
  <si>
    <t>边际频率</t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</si>
  <si>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</si>
  <si>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</si>
  <si>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家系内方差</t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</si>
  <si>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</si>
  <si>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</si>
  <si>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A</t>
    </r>
    <r>
      <rPr>
        <vertAlign val="sub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</si>
  <si>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联合频率</t>
    <phoneticPr fontId="7" type="noConversion"/>
  </si>
  <si>
    <t>边际频率</t>
    <phoneticPr fontId="7" type="noConversion"/>
  </si>
  <si>
    <t>全同胞家系内基因型的频率</t>
    <phoneticPr fontId="7" type="noConversion"/>
  </si>
  <si>
    <t>D0</t>
    <phoneticPr fontId="7" type="noConversion"/>
  </si>
  <si>
    <t>D=D0*(1-r)</t>
    <phoneticPr fontId="7" type="noConversion"/>
  </si>
  <si>
    <t>r=0.06</t>
    <phoneticPr fontId="7" type="noConversion"/>
  </si>
  <si>
    <t>(1-2r)/4</t>
    <phoneticPr fontId="7" type="noConversion"/>
  </si>
  <si>
    <t>频率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</si>
  <si>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</si>
  <si>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</si>
  <si>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</si>
  <si>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</si>
  <si>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</si>
  <si>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</si>
  <si>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</si>
  <si>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</si>
  <si>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 xml:space="preserve"> 频率</t>
    <phoneticPr fontId="7" type="noConversion"/>
  </si>
  <si>
    <t>RIL_AABB</t>
    <phoneticPr fontId="7" type="noConversion"/>
  </si>
  <si>
    <t>RIL_AAbb</t>
    <phoneticPr fontId="7" type="noConversion"/>
  </si>
  <si>
    <t>RIL_aaBB</t>
    <phoneticPr fontId="7" type="noConversion"/>
  </si>
  <si>
    <t>RIL_aabb</t>
    <phoneticPr fontId="7" type="noConversion"/>
  </si>
  <si>
    <t>AB/ab</t>
    <phoneticPr fontId="7" type="noConversion"/>
  </si>
  <si>
    <t>Ab/aB</t>
    <phoneticPr fontId="7" type="noConversion"/>
  </si>
  <si>
    <t>R=2r/(1+2r)</t>
    <phoneticPr fontId="7" type="noConversion"/>
  </si>
  <si>
    <t>RIL群体频率</t>
    <phoneticPr fontId="7" type="noConversion"/>
  </si>
  <si>
    <t xml:space="preserve"> 频率公式</t>
    <phoneticPr fontId="7" type="noConversion"/>
  </si>
  <si>
    <t>公式验证</t>
    <phoneticPr fontId="7" type="noConversion"/>
  </si>
  <si>
    <t>AA</t>
    <phoneticPr fontId="7" type="noConversion"/>
  </si>
  <si>
    <t>bb</t>
    <phoneticPr fontId="7" type="noConversion"/>
  </si>
  <si>
    <t>AA</t>
    <phoneticPr fontId="7" type="noConversion"/>
  </si>
  <si>
    <t>Aa</t>
    <phoneticPr fontId="7" type="noConversion"/>
  </si>
  <si>
    <t>Aa</t>
    <phoneticPr fontId="7" type="noConversion"/>
  </si>
  <si>
    <t>边际频率</t>
    <phoneticPr fontId="7" type="noConversion"/>
  </si>
  <si>
    <t>座位A</t>
    <phoneticPr fontId="7" type="noConversion"/>
  </si>
  <si>
    <t>座位B</t>
    <phoneticPr fontId="7" type="noConversion"/>
  </si>
  <si>
    <t>F2群体</t>
    <phoneticPr fontId="7" type="noConversion"/>
  </si>
  <si>
    <t>F3群体</t>
    <phoneticPr fontId="7" type="noConversion"/>
  </si>
  <si>
    <t>RIL群体</t>
    <phoneticPr fontId="7" type="noConversion"/>
  </si>
  <si>
    <t xml:space="preserve"> </t>
    <phoneticPr fontId="7" type="noConversion"/>
  </si>
  <si>
    <t>基因型频率</t>
    <phoneticPr fontId="7" type="noConversion"/>
  </si>
  <si>
    <t>行平均</t>
    <phoneticPr fontId="7" type="noConversion"/>
  </si>
  <si>
    <t>行效应</t>
    <phoneticPr fontId="7" type="noConversion"/>
  </si>
  <si>
    <t>列平均</t>
    <phoneticPr fontId="7" type="noConversion"/>
  </si>
  <si>
    <t>列效应</t>
    <phoneticPr fontId="7" type="noConversion"/>
  </si>
  <si>
    <t>互作效应</t>
    <phoneticPr fontId="7" type="noConversion"/>
  </si>
  <si>
    <t xml:space="preserve"> </t>
    <phoneticPr fontId="7" type="noConversion"/>
  </si>
  <si>
    <t>表型平均</t>
    <phoneticPr fontId="7" type="noConversion"/>
  </si>
  <si>
    <t>基因型与环境互作</t>
    <phoneticPr fontId="7" type="noConversion"/>
  </si>
  <si>
    <t>环境间</t>
    <phoneticPr fontId="7" type="noConversion"/>
  </si>
  <si>
    <t>总效应</t>
    <phoneticPr fontId="7" type="noConversion"/>
  </si>
  <si>
    <t>方差估计</t>
    <phoneticPr fontId="7" type="noConversion"/>
  </si>
  <si>
    <t>基因型</t>
    <phoneticPr fontId="7" type="noConversion"/>
  </si>
  <si>
    <t>效应类型</t>
    <phoneticPr fontId="7" type="noConversion"/>
  </si>
  <si>
    <t xml:space="preserve"> </t>
    <phoneticPr fontId="7" type="noConversion"/>
  </si>
  <si>
    <t>重复平均数</t>
    <phoneticPr fontId="7" type="noConversion"/>
  </si>
  <si>
    <t>自交系</t>
    <phoneticPr fontId="7" type="noConversion"/>
  </si>
  <si>
    <t>变异来源</t>
    <phoneticPr fontId="7" type="noConversion"/>
  </si>
  <si>
    <t>重复平均数</t>
    <phoneticPr fontId="7" type="noConversion"/>
  </si>
  <si>
    <t>RIL家系</t>
    <phoneticPr fontId="7" type="noConversion"/>
  </si>
  <si>
    <t>RIL家系</t>
    <phoneticPr fontId="7" type="noConversion"/>
  </si>
  <si>
    <t>环境指数</t>
  </si>
  <si>
    <t>品种</t>
    <phoneticPr fontId="7" type="noConversion"/>
  </si>
  <si>
    <t>E1</t>
    <phoneticPr fontId="7" type="noConversion"/>
  </si>
  <si>
    <t>E5</t>
  </si>
  <si>
    <t>E6</t>
  </si>
  <si>
    <t>E7</t>
  </si>
  <si>
    <t>E8</t>
  </si>
  <si>
    <t>行平均</t>
    <phoneticPr fontId="7" type="noConversion"/>
  </si>
  <si>
    <t>回归系数</t>
    <phoneticPr fontId="7" type="noConversion"/>
  </si>
  <si>
    <t>中等稳定</t>
    <phoneticPr fontId="7" type="noConversion"/>
  </si>
  <si>
    <t>稳定性分类</t>
    <phoneticPr fontId="7" type="noConversion"/>
  </si>
  <si>
    <t>高稳定</t>
    <phoneticPr fontId="7" type="noConversion"/>
  </si>
  <si>
    <t>低稳定</t>
    <phoneticPr fontId="7" type="noConversion"/>
  </si>
  <si>
    <r>
      <t>环境</t>
    </r>
    <r>
      <rPr>
        <sz val="10.5"/>
        <color theme="1"/>
        <rFont val="Times New Roman"/>
        <family val="1"/>
      </rPr>
      <t>1</t>
    </r>
  </si>
  <si>
    <r>
      <t>环境</t>
    </r>
    <r>
      <rPr>
        <sz val="10.5"/>
        <color theme="1"/>
        <rFont val="Times New Roman"/>
        <family val="1"/>
      </rPr>
      <t>2</t>
    </r>
  </si>
  <si>
    <r>
      <t>环境</t>
    </r>
    <r>
      <rPr>
        <sz val="10.5"/>
        <color theme="1"/>
        <rFont val="Times New Roman"/>
        <family val="1"/>
      </rPr>
      <t>3</t>
    </r>
  </si>
  <si>
    <r>
      <t>环境</t>
    </r>
    <r>
      <rPr>
        <sz val="10.5"/>
        <color theme="1"/>
        <rFont val="Times New Roman"/>
        <family val="1"/>
      </rPr>
      <t>4</t>
    </r>
  </si>
  <si>
    <r>
      <t>环境</t>
    </r>
    <r>
      <rPr>
        <sz val="10.5"/>
        <color theme="1"/>
        <rFont val="Times New Roman"/>
        <family val="1"/>
      </rPr>
      <t>5</t>
    </r>
  </si>
  <si>
    <r>
      <t>环境</t>
    </r>
    <r>
      <rPr>
        <sz val="10.5"/>
        <color theme="1"/>
        <rFont val="Times New Roman"/>
        <family val="1"/>
      </rPr>
      <t>6</t>
    </r>
  </si>
  <si>
    <r>
      <t>环境</t>
    </r>
    <r>
      <rPr>
        <sz val="10.5"/>
        <color theme="1"/>
        <rFont val="Times New Roman"/>
        <family val="1"/>
      </rPr>
      <t>7</t>
    </r>
  </si>
  <si>
    <r>
      <t>环境</t>
    </r>
    <r>
      <rPr>
        <sz val="10.5"/>
        <color theme="1"/>
        <rFont val="Times New Roman"/>
        <family val="1"/>
      </rPr>
      <t>8</t>
    </r>
  </si>
  <si>
    <r>
      <t>基因型</t>
    </r>
    <r>
      <rPr>
        <sz val="10.5"/>
        <color theme="1"/>
        <rFont val="Times New Roman"/>
        <family val="1"/>
      </rPr>
      <t>1</t>
    </r>
  </si>
  <si>
    <r>
      <t>基因型</t>
    </r>
    <r>
      <rPr>
        <sz val="10.5"/>
        <color theme="1"/>
        <rFont val="Times New Roman"/>
        <family val="1"/>
      </rPr>
      <t>2</t>
    </r>
  </si>
  <si>
    <r>
      <t>基因型</t>
    </r>
    <r>
      <rPr>
        <sz val="10.5"/>
        <color theme="1"/>
        <rFont val="Times New Roman"/>
        <family val="1"/>
      </rPr>
      <t>3</t>
    </r>
  </si>
  <si>
    <r>
      <t>基因型</t>
    </r>
    <r>
      <rPr>
        <sz val="10.5"/>
        <color theme="1"/>
        <rFont val="Times New Roman"/>
        <family val="1"/>
      </rPr>
      <t>4</t>
    </r>
  </si>
  <si>
    <r>
      <t>基因型</t>
    </r>
    <r>
      <rPr>
        <sz val="10.5"/>
        <color theme="1"/>
        <rFont val="Times New Roman"/>
        <family val="1"/>
      </rPr>
      <t>5</t>
    </r>
  </si>
  <si>
    <r>
      <t>基因型</t>
    </r>
    <r>
      <rPr>
        <sz val="10.5"/>
        <color theme="1"/>
        <rFont val="Times New Roman"/>
        <family val="1"/>
      </rPr>
      <t>6</t>
    </r>
  </si>
  <si>
    <r>
      <t>基因型</t>
    </r>
    <r>
      <rPr>
        <sz val="10.5"/>
        <color theme="1"/>
        <rFont val="Times New Roman"/>
        <family val="1"/>
      </rPr>
      <t>7</t>
    </r>
  </si>
  <si>
    <r>
      <t>基因型</t>
    </r>
    <r>
      <rPr>
        <sz val="10.5"/>
        <color theme="1"/>
        <rFont val="Times New Roman"/>
        <family val="1"/>
      </rPr>
      <t>8</t>
    </r>
  </si>
  <si>
    <r>
      <t>基因型</t>
    </r>
    <r>
      <rPr>
        <sz val="10.5"/>
        <color theme="1"/>
        <rFont val="Times New Roman"/>
        <family val="1"/>
      </rPr>
      <t>9</t>
    </r>
  </si>
  <si>
    <r>
      <t>基因型</t>
    </r>
    <r>
      <rPr>
        <sz val="10.5"/>
        <color theme="1"/>
        <rFont val="Times New Roman"/>
        <family val="1"/>
      </rPr>
      <t>10</t>
    </r>
  </si>
  <si>
    <t>TraitName</t>
  </si>
  <si>
    <t>DataUsed</t>
  </si>
  <si>
    <t>Name</t>
  </si>
  <si>
    <t>MeanValue</t>
  </si>
  <si>
    <t>PCA1</t>
  </si>
  <si>
    <t>PCA2</t>
  </si>
  <si>
    <t>产量</t>
  </si>
  <si>
    <t>GGE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</si>
  <si>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</si>
  <si>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</si>
  <si>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</si>
  <si>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</si>
  <si>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</si>
  <si>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</si>
  <si>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</si>
  <si>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</si>
  <si>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</si>
  <si>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</si>
  <si>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Score</t>
  </si>
  <si>
    <t>AMMI</t>
  </si>
  <si>
    <t>全同胞</t>
    <phoneticPr fontId="7" type="noConversion"/>
  </si>
  <si>
    <t>半同胞</t>
    <phoneticPr fontId="7" type="noConversion"/>
  </si>
  <si>
    <t>家系间方差</t>
    <phoneticPr fontId="7" type="noConversion"/>
  </si>
  <si>
    <t>家系内方差</t>
    <phoneticPr fontId="7" type="noConversion"/>
  </si>
  <si>
    <t>基因型</t>
    <phoneticPr fontId="7" type="noConversion"/>
  </si>
  <si>
    <r>
      <rPr>
        <sz val="11"/>
        <color theme="1"/>
        <rFont val="宋体"/>
        <family val="2"/>
      </rPr>
      <t>模拟练习</t>
    </r>
    <r>
      <rPr>
        <sz val="11"/>
        <color theme="1"/>
        <rFont val="Times New Roman"/>
        <family val="1"/>
      </rPr>
      <t>3~5</t>
    </r>
    <r>
      <rPr>
        <sz val="11"/>
        <color theme="1"/>
        <rFont val="宋体"/>
        <family val="2"/>
      </rPr>
      <t>数据</t>
    </r>
    <phoneticPr fontId="7" type="noConversion"/>
  </si>
  <si>
    <t>重复I</t>
    <phoneticPr fontId="7" type="noConversion"/>
  </si>
  <si>
    <t>重复II</t>
    <phoneticPr fontId="7" type="noConversion"/>
  </si>
  <si>
    <t>重复平均数</t>
    <phoneticPr fontId="7" type="noConversion"/>
  </si>
  <si>
    <t xml:space="preserve"> </t>
    <phoneticPr fontId="7" type="noConversion"/>
  </si>
  <si>
    <t>变异来源</t>
    <phoneticPr fontId="7" type="noConversion"/>
  </si>
  <si>
    <t>剩余项</t>
    <phoneticPr fontId="7" type="noConversion"/>
  </si>
  <si>
    <t>总和</t>
    <phoneticPr fontId="7" type="noConversion"/>
  </si>
  <si>
    <t>自由度</t>
    <phoneticPr fontId="7" type="noConversion"/>
  </si>
  <si>
    <t>平方和</t>
    <phoneticPr fontId="7" type="noConversion"/>
  </si>
  <si>
    <t>均方</t>
    <phoneticPr fontId="7" type="noConversion"/>
  </si>
  <si>
    <t>F值</t>
    <phoneticPr fontId="7" type="noConversion"/>
  </si>
  <si>
    <t>P值</t>
    <phoneticPr fontId="7" type="noConversion"/>
  </si>
  <si>
    <t>重复I 误差效应</t>
    <phoneticPr fontId="7" type="noConversion"/>
  </si>
  <si>
    <r>
      <t>F2个体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测交亲本效应</t>
    </r>
    <phoneticPr fontId="7" type="noConversion"/>
  </si>
  <si>
    <r>
      <t>F2个体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测交亲本的组合</t>
    </r>
    <phoneticPr fontId="7" type="noConversion"/>
  </si>
  <si>
    <t xml:space="preserve"> </t>
    <phoneticPr fontId="7" type="noConversion"/>
  </si>
  <si>
    <t>交配设计</t>
    <phoneticPr fontId="7" type="noConversion"/>
  </si>
  <si>
    <t>加性方差</t>
    <phoneticPr fontId="7" type="noConversion"/>
  </si>
  <si>
    <t>显性方差</t>
    <phoneticPr fontId="7" type="noConversion"/>
  </si>
  <si>
    <t>误差方差</t>
    <phoneticPr fontId="7" type="noConversion"/>
  </si>
  <si>
    <r>
      <t>F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群体</t>
    </r>
    <r>
      <rPr>
        <sz val="11"/>
        <color theme="1"/>
        <rFont val="宋体"/>
        <family val="2"/>
        <scheme val="minor"/>
      </rPr>
      <t>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</si>
  <si>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F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群体H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</si>
  <si>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误差方差</t>
    <phoneticPr fontId="7" type="noConversion"/>
  </si>
  <si>
    <t>进度R</t>
    <phoneticPr fontId="7" type="noConversion"/>
  </si>
  <si>
    <t>选择差S</t>
    <phoneticPr fontId="7" type="noConversion"/>
  </si>
  <si>
    <t>狭义遗传力</t>
    <phoneticPr fontId="7" type="noConversion"/>
  </si>
  <si>
    <t>广义遗传力</t>
    <phoneticPr fontId="7" type="noConversion"/>
  </si>
  <si>
    <t>中选群体均值</t>
    <phoneticPr fontId="7" type="noConversion"/>
  </si>
  <si>
    <r>
      <t>V</t>
    </r>
    <r>
      <rPr>
        <vertAlign val="subscript"/>
        <sz val="11"/>
        <color theme="1"/>
        <rFont val="宋体"/>
        <family val="3"/>
        <charset val="134"/>
        <scheme val="minor"/>
      </rPr>
      <t>I</t>
    </r>
    <phoneticPr fontId="7" type="noConversion"/>
  </si>
  <si>
    <r>
      <t>h</t>
    </r>
    <r>
      <rPr>
        <vertAlign val="subscript"/>
        <sz val="11"/>
        <color theme="1"/>
        <rFont val="宋体"/>
        <family val="3"/>
        <charset val="134"/>
        <scheme val="minor"/>
      </rPr>
      <t>I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</si>
  <si>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r>
      <t>r</t>
    </r>
    <r>
      <rPr>
        <vertAlign val="subscript"/>
        <sz val="11"/>
        <color theme="1"/>
        <rFont val="宋体"/>
        <family val="3"/>
        <charset val="134"/>
        <scheme val="minor"/>
      </rPr>
      <t>IH</t>
    </r>
    <phoneticPr fontId="7" type="noConversion"/>
  </si>
  <si>
    <r>
      <t>r</t>
    </r>
    <r>
      <rPr>
        <vertAlign val="subscript"/>
        <sz val="11"/>
        <color theme="1"/>
        <rFont val="宋体"/>
        <family val="3"/>
        <charset val="134"/>
        <scheme val="minor"/>
      </rPr>
      <t>IH</t>
    </r>
    <r>
      <rPr>
        <sz val="11"/>
        <color theme="1"/>
        <rFont val="宋体"/>
        <family val="2"/>
        <scheme val="minor"/>
      </rPr>
      <t>/h</t>
    </r>
    <phoneticPr fontId="7" type="noConversion"/>
  </si>
  <si>
    <t>h</t>
    <phoneticPr fontId="7" type="noConversion"/>
  </si>
  <si>
    <t>Cov(A,A)w</t>
    <phoneticPr fontId="7" type="noConversion"/>
  </si>
  <si>
    <r>
      <t>R</t>
    </r>
    <r>
      <rPr>
        <vertAlign val="subscript"/>
        <sz val="11"/>
        <color theme="1"/>
        <rFont val="宋体"/>
        <family val="3"/>
        <charset val="134"/>
        <scheme val="minor"/>
      </rPr>
      <t>H</t>
    </r>
    <phoneticPr fontId="7" type="noConversion"/>
  </si>
  <si>
    <t>i</t>
    <phoneticPr fontId="7" type="noConversion"/>
  </si>
  <si>
    <r>
      <t>Cov(I,A</t>
    </r>
    <r>
      <rPr>
        <vertAlign val="subscript"/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2"/>
        <scheme val="minor"/>
      </rPr>
      <t>)</t>
    </r>
    <phoneticPr fontId="7" type="noConversion"/>
  </si>
  <si>
    <r>
      <t>Cov(I,A</t>
    </r>
    <r>
      <rPr>
        <vertAlign val="subscript"/>
        <sz val="11"/>
        <color theme="1"/>
        <rFont val="宋体"/>
        <family val="3"/>
        <charset val="134"/>
        <scheme val="minor"/>
      </rPr>
      <t>2)</t>
    </r>
    <r>
      <rPr>
        <sz val="11"/>
        <color theme="1"/>
        <rFont val="宋体"/>
        <family val="2"/>
        <scheme val="minor"/>
      </rPr>
      <t/>
    </r>
  </si>
  <si>
    <r>
      <t>R</t>
    </r>
    <r>
      <rPr>
        <vertAlign val="subscript"/>
        <sz val="11"/>
        <color theme="1"/>
        <rFont val="宋体"/>
        <family val="3"/>
        <charset val="134"/>
        <scheme val="minor"/>
      </rPr>
      <t>1</t>
    </r>
    <phoneticPr fontId="7" type="noConversion"/>
  </si>
  <si>
    <r>
      <t>R</t>
    </r>
    <r>
      <rPr>
        <vertAlign val="subscript"/>
        <sz val="11"/>
        <color theme="1"/>
        <rFont val="宋体"/>
        <family val="3"/>
        <charset val="134"/>
        <scheme val="minor"/>
      </rPr>
      <t>2</t>
    </r>
    <phoneticPr fontId="7" type="noConversion"/>
  </si>
  <si>
    <t>加性效应a</t>
    <phoneticPr fontId="7" type="noConversion"/>
  </si>
  <si>
    <t>显性效应d</t>
    <phoneticPr fontId="7" type="noConversion"/>
  </si>
  <si>
    <t>近交衰退</t>
    <phoneticPr fontId="7" type="noConversion"/>
  </si>
  <si>
    <t>第一亲本</t>
    <phoneticPr fontId="7" type="noConversion"/>
  </si>
  <si>
    <t>第二亲本</t>
    <phoneticPr fontId="7" type="noConversion"/>
  </si>
  <si>
    <r>
      <rPr>
        <i/>
        <sz val="11"/>
        <color theme="1"/>
        <rFont val="宋体"/>
        <family val="3"/>
        <charset val="134"/>
        <scheme val="minor"/>
      </rPr>
      <t>AA</t>
    </r>
    <r>
      <rPr>
        <sz val="11"/>
        <color theme="1"/>
        <rFont val="宋体"/>
        <family val="3"/>
        <charset val="134"/>
      </rPr>
      <t>×</t>
    </r>
    <r>
      <rPr>
        <i/>
        <sz val="11"/>
        <color theme="1"/>
        <rFont val="宋体"/>
        <family val="3"/>
        <charset val="134"/>
      </rPr>
      <t>AA</t>
    </r>
    <r>
      <rPr>
        <sz val="11"/>
        <color theme="1"/>
        <rFont val="宋体"/>
        <family val="3"/>
        <charset val="134"/>
      </rPr>
      <t xml:space="preserve"> </t>
    </r>
    <phoneticPr fontId="7" type="noConversion"/>
  </si>
  <si>
    <r>
      <rPr>
        <i/>
        <sz val="11"/>
        <color theme="1"/>
        <rFont val="宋体"/>
        <family val="3"/>
        <charset val="134"/>
        <scheme val="minor"/>
      </rPr>
      <t>AA</t>
    </r>
    <r>
      <rPr>
        <sz val="11"/>
        <color theme="1"/>
        <rFont val="宋体"/>
        <family val="3"/>
        <charset val="134"/>
      </rPr>
      <t>×</t>
    </r>
    <r>
      <rPr>
        <i/>
        <sz val="11"/>
        <color theme="1"/>
        <rFont val="宋体"/>
        <family val="3"/>
        <charset val="134"/>
      </rPr>
      <t>aa</t>
    </r>
    <r>
      <rPr>
        <sz val="11"/>
        <color theme="1"/>
        <rFont val="宋体"/>
        <family val="2"/>
      </rPr>
      <t xml:space="preserve"> </t>
    </r>
    <phoneticPr fontId="7" type="noConversion"/>
  </si>
  <si>
    <r>
      <rPr>
        <i/>
        <sz val="11"/>
        <color theme="1"/>
        <rFont val="宋体"/>
        <family val="3"/>
        <charset val="134"/>
        <scheme val="minor"/>
      </rPr>
      <t>aa</t>
    </r>
    <r>
      <rPr>
        <sz val="11"/>
        <color theme="1"/>
        <rFont val="宋体"/>
        <family val="3"/>
        <charset val="134"/>
      </rPr>
      <t>×</t>
    </r>
    <r>
      <rPr>
        <i/>
        <sz val="11"/>
        <color theme="1"/>
        <rFont val="宋体"/>
        <family val="3"/>
        <charset val="134"/>
      </rPr>
      <t>AA</t>
    </r>
    <r>
      <rPr>
        <sz val="11"/>
        <color theme="1"/>
        <rFont val="宋体"/>
        <family val="3"/>
        <charset val="134"/>
      </rPr>
      <t xml:space="preserve"> </t>
    </r>
    <phoneticPr fontId="7" type="noConversion"/>
  </si>
  <si>
    <r>
      <rPr>
        <i/>
        <sz val="11"/>
        <color theme="1"/>
        <rFont val="宋体"/>
        <family val="3"/>
        <charset val="134"/>
        <scheme val="minor"/>
      </rPr>
      <t>aa</t>
    </r>
    <r>
      <rPr>
        <sz val="11"/>
        <color theme="1"/>
        <rFont val="宋体"/>
        <family val="3"/>
        <charset val="134"/>
      </rPr>
      <t>×</t>
    </r>
    <r>
      <rPr>
        <i/>
        <sz val="11"/>
        <color theme="1"/>
        <rFont val="宋体"/>
        <family val="3"/>
        <charset val="134"/>
      </rPr>
      <t>aa</t>
    </r>
    <r>
      <rPr>
        <sz val="11"/>
        <color theme="1"/>
        <rFont val="宋体"/>
        <family val="3"/>
        <charset val="134"/>
      </rPr>
      <t xml:space="preserve"> </t>
    </r>
    <phoneticPr fontId="7" type="noConversion"/>
  </si>
  <si>
    <t>交配类型</t>
    <phoneticPr fontId="7" type="noConversion"/>
  </si>
  <si>
    <t>(p-q)a+2pqd</t>
    <phoneticPr fontId="7" type="noConversion"/>
  </si>
  <si>
    <t>总和</t>
    <phoneticPr fontId="7" type="noConversion"/>
  </si>
  <si>
    <t>近交系数</t>
    <phoneticPr fontId="7" type="noConversion"/>
  </si>
  <si>
    <t>群体均值</t>
    <phoneticPr fontId="7" type="noConversion"/>
  </si>
  <si>
    <t>座位</t>
    <phoneticPr fontId="7" type="noConversion"/>
  </si>
  <si>
    <t xml:space="preserve"> </t>
    <phoneticPr fontId="7" type="noConversion"/>
  </si>
  <si>
    <t>估计值</t>
    <phoneticPr fontId="7" type="noConversion"/>
  </si>
  <si>
    <t>遗传参数</t>
    <phoneticPr fontId="7" type="noConversion"/>
  </si>
  <si>
    <t>杂种F1</t>
    <phoneticPr fontId="7" type="noConversion"/>
  </si>
  <si>
    <t xml:space="preserve"> </t>
    <phoneticPr fontId="7" type="noConversion"/>
  </si>
  <si>
    <t>亲本基因型</t>
    <phoneticPr fontId="7" type="noConversion"/>
  </si>
  <si>
    <t>亲本1</t>
    <phoneticPr fontId="7" type="noConversion"/>
  </si>
  <si>
    <t>亲本2</t>
    <phoneticPr fontId="7" type="noConversion"/>
  </si>
  <si>
    <t>亲本基因型值</t>
    <phoneticPr fontId="7" type="noConversion"/>
  </si>
  <si>
    <t>D</t>
    <phoneticPr fontId="7" type="noConversion"/>
  </si>
  <si>
    <t>父本配合力</t>
    <phoneticPr fontId="7" type="noConversion"/>
  </si>
  <si>
    <t>母本配合力</t>
    <phoneticPr fontId="7" type="noConversion"/>
  </si>
  <si>
    <t>特殊配合力</t>
    <phoneticPr fontId="7" type="noConversion"/>
  </si>
  <si>
    <t xml:space="preserve"> </t>
    <phoneticPr fontId="7" type="noConversion"/>
  </si>
  <si>
    <t>G</t>
    <phoneticPr fontId="7" type="noConversion"/>
  </si>
  <si>
    <t>测交亲本</t>
    <phoneticPr fontId="7" type="noConversion"/>
  </si>
  <si>
    <t>自交系亲本</t>
    <phoneticPr fontId="7" type="noConversion"/>
  </si>
  <si>
    <t>GCA</t>
    <phoneticPr fontId="7" type="noConversion"/>
  </si>
  <si>
    <t>GCA相关系数</t>
    <phoneticPr fontId="7" type="noConversion"/>
  </si>
  <si>
    <t>均值</t>
    <phoneticPr fontId="7" type="noConversion"/>
  </si>
  <si>
    <t>Usefulness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</si>
  <si>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</si>
  <si>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</si>
  <si>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</si>
  <si>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</si>
  <si>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>aaBb</t>
    <phoneticPr fontId="7" type="noConversion"/>
  </si>
  <si>
    <t xml:space="preserve"> </t>
    <phoneticPr fontId="7" type="noConversion"/>
  </si>
  <si>
    <t>基因型值</t>
    <phoneticPr fontId="7" type="noConversion"/>
  </si>
  <si>
    <t>AA</t>
    <phoneticPr fontId="7" type="noConversion"/>
  </si>
  <si>
    <t>Aa</t>
    <phoneticPr fontId="7" type="noConversion"/>
  </si>
  <si>
    <t>基因型</t>
    <phoneticPr fontId="7" type="noConversion"/>
  </si>
  <si>
    <t>aa</t>
    <phoneticPr fontId="7" type="noConversion"/>
  </si>
  <si>
    <t>GCAbyF1tester</t>
    <phoneticPr fontId="7" type="noConversion"/>
  </si>
  <si>
    <t>标准差</t>
    <phoneticPr fontId="7" type="noConversion"/>
  </si>
  <si>
    <t>练习12.8</t>
    <phoneticPr fontId="7" type="noConversion"/>
  </si>
  <si>
    <t>练习12.11</t>
    <phoneticPr fontId="7" type="noConversion"/>
  </si>
  <si>
    <t>标记型0</t>
    <phoneticPr fontId="48" type="noConversion"/>
  </si>
  <si>
    <t>标记型2</t>
    <phoneticPr fontId="48" type="noConversion"/>
  </si>
  <si>
    <t>样本量</t>
    <phoneticPr fontId="48" type="noConversion"/>
  </si>
  <si>
    <t>均值</t>
    <phoneticPr fontId="48" type="noConversion"/>
  </si>
  <si>
    <t>方差</t>
    <phoneticPr fontId="48" type="noConversion"/>
  </si>
  <si>
    <t>标准差</t>
    <phoneticPr fontId="48" type="noConversion"/>
  </si>
  <si>
    <t>t值</t>
    <phoneticPr fontId="48" type="noConversion"/>
  </si>
  <si>
    <t>P值</t>
    <phoneticPr fontId="48" type="noConversion"/>
  </si>
  <si>
    <t>TTEST</t>
    <phoneticPr fontId="7" type="noConversion"/>
  </si>
  <si>
    <t>合并方差</t>
    <phoneticPr fontId="7" type="noConversion"/>
  </si>
  <si>
    <t>统计量</t>
    <phoneticPr fontId="7" type="noConversion"/>
  </si>
  <si>
    <t>样本均值之差的标准差</t>
    <phoneticPr fontId="7" type="noConversion"/>
  </si>
  <si>
    <t>F0</t>
    <phoneticPr fontId="7" type="noConversion"/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</si>
  <si>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</si>
  <si>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</si>
  <si>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</si>
  <si>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</si>
  <si>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</si>
  <si>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</si>
  <si>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</si>
  <si>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</si>
  <si>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</si>
  <si>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</si>
  <si>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</si>
  <si>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</si>
  <si>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</si>
  <si>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</si>
  <si>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</si>
  <si>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Ne</t>
    <phoneticPr fontId="7" type="noConversion"/>
  </si>
  <si>
    <t>F16</t>
  </si>
  <si>
    <t>F17</t>
  </si>
  <si>
    <t>F18</t>
  </si>
  <si>
    <t>F19</t>
  </si>
  <si>
    <t>F20</t>
  </si>
  <si>
    <t>F21</t>
  </si>
  <si>
    <r>
      <rPr>
        <sz val="11"/>
        <color theme="1"/>
        <rFont val="宋体"/>
        <family val="3"/>
        <charset val="134"/>
      </rPr>
      <t>练习</t>
    </r>
    <r>
      <rPr>
        <sz val="11"/>
        <color theme="1"/>
        <rFont val="Calibri"/>
        <family val="2"/>
      </rPr>
      <t>4.11</t>
    </r>
    <phoneticPr fontId="7" type="noConversion"/>
  </si>
  <si>
    <t>世代</t>
    <phoneticPr fontId="7" type="noConversion"/>
  </si>
  <si>
    <t>近交系数</t>
    <phoneticPr fontId="7" type="noConversion"/>
  </si>
  <si>
    <t>增长速率</t>
    <phoneticPr fontId="7" type="noConversion"/>
  </si>
  <si>
    <t>BC2F1</t>
    <phoneticPr fontId="7" type="noConversion"/>
  </si>
  <si>
    <t>BC2F2</t>
    <phoneticPr fontId="7" type="noConversion"/>
  </si>
  <si>
    <r>
      <rPr>
        <sz val="11"/>
        <color theme="1"/>
        <rFont val="宋体"/>
        <family val="3"/>
        <charset val="134"/>
      </rPr>
      <t>总和</t>
    </r>
    <phoneticPr fontId="7" type="noConversion"/>
  </si>
  <si>
    <r>
      <rPr>
        <sz val="11"/>
        <color theme="1"/>
        <rFont val="宋体"/>
        <family val="3"/>
        <charset val="134"/>
      </rPr>
      <t>重组率</t>
    </r>
    <r>
      <rPr>
        <sz val="11"/>
        <color theme="1"/>
        <rFont val="Times New Roman"/>
        <family val="1"/>
      </rPr>
      <t>r</t>
    </r>
    <phoneticPr fontId="7" type="noConversion"/>
  </si>
  <si>
    <t>练习6.1</t>
    <phoneticPr fontId="7" type="noConversion"/>
  </si>
  <si>
    <t>观测频率</t>
    <phoneticPr fontId="7" type="noConversion"/>
  </si>
  <si>
    <t>正态分布频率</t>
    <phoneticPr fontId="7" type="noConversion"/>
  </si>
  <si>
    <t>期望观察值</t>
    <phoneticPr fontId="7" type="noConversion"/>
  </si>
  <si>
    <t>(O-E)^2</t>
    <phoneticPr fontId="7" type="noConversion"/>
  </si>
  <si>
    <t>观测频率</t>
    <phoneticPr fontId="7" type="noConversion"/>
  </si>
  <si>
    <t>样本量</t>
    <phoneticPr fontId="7" type="noConversion"/>
  </si>
  <si>
    <t>(1)均值</t>
    <phoneticPr fontId="7" type="noConversion"/>
  </si>
  <si>
    <t>(2)卡方</t>
    <phoneticPr fontId="7" type="noConversion"/>
  </si>
  <si>
    <t>(3)卡方</t>
    <phoneticPr fontId="7" type="noConversion"/>
  </si>
  <si>
    <t>(1)方差</t>
    <phoneticPr fontId="7" type="noConversion"/>
  </si>
  <si>
    <t>(2)P值</t>
    <phoneticPr fontId="7" type="noConversion"/>
  </si>
  <si>
    <t>(3)P值</t>
    <phoneticPr fontId="7" type="noConversion"/>
  </si>
  <si>
    <t>(1)标准差</t>
    <phoneticPr fontId="7" type="noConversion"/>
  </si>
  <si>
    <t>(4) 假设检验针对于有限样本；样本量无穷大时，即使细微的差异都可以是显著的；</t>
    <phoneticPr fontId="7" type="noConversion"/>
  </si>
  <si>
    <t>(4) 接收零假设，并不等价于备择假设完全没有可能</t>
    <phoneticPr fontId="7" type="noConversion"/>
  </si>
  <si>
    <t xml:space="preserve">(5) 95%: </t>
    <phoneticPr fontId="7" type="noConversion"/>
  </si>
  <si>
    <t>(5) 99%:</t>
    <phoneticPr fontId="7" type="noConversion"/>
  </si>
  <si>
    <t>卡方检验的自由度为分组数-1-2，2代表估计参数（即正态分布的均值和方差）的个数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</si>
</sst>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0.0000_ "/>
    <numFmt numFmtId="177" formatCode="0_ "/>
    <numFmt numFmtId="178" formatCode="0.000_ "/>
    <numFmt numFmtId="179" formatCode="0_);[Red]\(0\)"/>
    <numFmt numFmtId="180" formatCode="0.0_ "/>
    <numFmt numFmtId="181" formatCode="0.00_ "/>
    <numFmt numFmtId="182" formatCode="0.0000_);[Red]\(0.0000\)"/>
    <numFmt numFmtId="183" formatCode="0.0000"/>
    <numFmt numFmtId="184" formatCode="0.000000_ "/>
    <numFmt numFmtId="185" formatCode="0.000000_);[Red]\(0.000000\)"/>
  </numFmts>
  <fonts count="53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Times New Roman"/>
      <family val="1"/>
    </font>
    <font>
      <sz val="11"/>
      <color theme="1"/>
      <name val="宋体"/>
      <family val="2"/>
    </font>
    <font>
      <sz val="9"/>
      <name val="宋体"/>
      <family val="3"/>
      <charset val="134"/>
      <scheme val="minor"/>
    </font>
    <font>
      <vertAlign val="superscript"/>
      <sz val="11"/>
      <color theme="1"/>
      <name val="Times New Roman"/>
      <family val="1"/>
    </font>
    <font>
      <sz val="10.5"/>
      <color theme="1"/>
      <name val="Times New Roman"/>
      <family val="1"/>
    </font>
    <font>
      <vertAlign val="superscript"/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i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0.5"/>
      <color rgb="FF000000"/>
      <name val="Times New Roman"/>
      <family val="1"/>
    </font>
    <font>
      <sz val="11"/>
      <color theme="0"/>
      <name val="宋体"/>
      <family val="2"/>
      <scheme val="minor"/>
    </font>
    <font>
      <sz val="12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18"/>
      <color theme="3"/>
      <name val="宋体"/>
      <family val="2"/>
      <scheme val="major"/>
    </font>
    <font>
      <sz val="11"/>
      <color rgb="FF9C0006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color rgb="FF0061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3F3F76"/>
      <name val="宋体"/>
      <family val="2"/>
      <scheme val="minor"/>
    </font>
    <font>
      <vertAlign val="subscript"/>
      <sz val="11"/>
      <color theme="1"/>
      <name val="宋体"/>
      <family val="3"/>
      <charset val="134"/>
      <scheme val="minor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name val="Calibri"/>
      <family val="2"/>
    </font>
    <font>
      <vertAlign val="superscript"/>
      <sz val="11"/>
      <color theme="1"/>
      <name val="宋体"/>
      <family val="3"/>
      <charset val="134"/>
    </font>
    <font>
      <vertAlign val="subscript"/>
      <sz val="11"/>
      <color theme="1"/>
      <name val="宋体"/>
      <family val="3"/>
      <charset val="134"/>
    </font>
    <font>
      <sz val="9"/>
      <name val="宋体"/>
      <family val="3"/>
      <charset val="134"/>
    </font>
    <font>
      <vertAlign val="subscript"/>
      <sz val="10.5"/>
      <color theme="1"/>
      <name val="Times New Roman"/>
      <family val="1"/>
    </font>
    <font>
      <vertAlign val="subscript"/>
      <sz val="11"/>
      <color theme="1"/>
      <name val="宋体"/>
      <family val="2"/>
      <scheme val="minor"/>
    </font>
    <font>
      <sz val="10"/>
      <color rgb="FF000000"/>
      <name val="Times New Roman"/>
      <family val="1"/>
    </font>
    <font>
      <sz val="10.5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vertAlign val="superscript"/>
      <sz val="11"/>
      <name val="宋体"/>
      <family val="3"/>
      <charset val="134"/>
      <scheme val="minor"/>
    </font>
    <font>
      <vertAlign val="subscript"/>
      <sz val="11"/>
      <name val="宋体"/>
      <family val="3"/>
      <charset val="134"/>
      <scheme val="minor"/>
    </font>
    <font>
      <sz val="10.5"/>
      <color theme="1"/>
      <name val="Calibri"/>
      <family val="2"/>
    </font>
    <font>
      <sz val="9"/>
      <name val="宋体"/>
      <family val="2"/>
      <charset val="134"/>
      <scheme val="minor"/>
    </font>
    <font>
      <vertAlign val="subscript"/>
      <sz val="11"/>
      <color theme="1"/>
      <name val="Times New Roman"/>
      <family val="1"/>
    </font>
    <font>
      <sz val="10.5"/>
      <color theme="1"/>
      <name val="宋体"/>
      <family val="2"/>
    </font>
    <font>
      <i/>
      <sz val="11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6">
    <xf numFmtId="0" fontId="0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9" fontId="16" fillId="0" borderId="0" applyFon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16" fillId="0" borderId="0"/>
    <xf numFmtId="0" fontId="22" fillId="0" borderId="0">
      <alignment vertical="center"/>
    </xf>
    <xf numFmtId="0" fontId="23" fillId="2" borderId="0" applyNumberFormat="0" applyBorder="0" applyAlignment="0" applyProtection="0"/>
    <xf numFmtId="0" fontId="24" fillId="0" borderId="9" applyNumberFormat="0" applyFill="0" applyAlignment="0" applyProtection="0"/>
    <xf numFmtId="0" fontId="25" fillId="6" borderId="4" applyNumberFormat="0" applyAlignment="0" applyProtection="0"/>
    <xf numFmtId="0" fontId="26" fillId="7" borderId="7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30" fillId="4" borderId="0" applyNumberFormat="0" applyBorder="0" applyAlignment="0" applyProtection="0"/>
    <xf numFmtId="0" fontId="31" fillId="6" borderId="5" applyNumberFormat="0" applyAlignment="0" applyProtection="0"/>
    <xf numFmtId="0" fontId="32" fillId="5" borderId="4" applyNumberFormat="0" applyAlignment="0" applyProtection="0"/>
    <xf numFmtId="0" fontId="4" fillId="8" borderId="8" applyNumberFormat="0" applyFont="0" applyAlignment="0" applyProtection="0"/>
    <xf numFmtId="0" fontId="3" fillId="0" borderId="0">
      <alignment vertical="center"/>
    </xf>
  </cellStyleXfs>
  <cellXfs count="86">
    <xf numFmtId="0" fontId="0" fillId="0" borderId="0" xfId="0"/>
    <xf numFmtId="0" fontId="5" fillId="33" borderId="0" xfId="0" applyFont="1" applyFill="1"/>
    <xf numFmtId="0" fontId="5" fillId="0" borderId="0" xfId="0" applyFont="1"/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/>
    <xf numFmtId="176" fontId="5" fillId="0" borderId="0" xfId="0" applyNumberFormat="1" applyFont="1"/>
    <xf numFmtId="0" fontId="13" fillId="0" borderId="0" xfId="0" applyFont="1"/>
    <xf numFmtId="0" fontId="5" fillId="0" borderId="0" xfId="0" applyFont="1" applyFill="1"/>
    <xf numFmtId="0" fontId="5" fillId="0" borderId="0" xfId="0" quotePrefix="1" applyFont="1"/>
    <xf numFmtId="0" fontId="6" fillId="0" borderId="0" xfId="0" applyFont="1"/>
    <xf numFmtId="0" fontId="13" fillId="33" borderId="0" xfId="0" applyFont="1" applyFill="1"/>
    <xf numFmtId="0" fontId="0" fillId="33" borderId="0" xfId="0" applyFill="1"/>
    <xf numFmtId="0" fontId="0" fillId="33" borderId="0" xfId="0" quotePrefix="1" applyFill="1"/>
    <xf numFmtId="176" fontId="0" fillId="0" borderId="0" xfId="0" applyNumberFormat="1"/>
    <xf numFmtId="0" fontId="22" fillId="0" borderId="0" xfId="0" applyFont="1"/>
    <xf numFmtId="177" fontId="0" fillId="0" borderId="0" xfId="0" applyNumberFormat="1"/>
    <xf numFmtId="0" fontId="0" fillId="34" borderId="0" xfId="0" applyFill="1"/>
    <xf numFmtId="0" fontId="35" fillId="33" borderId="0" xfId="0" applyFont="1" applyFill="1"/>
    <xf numFmtId="178" fontId="0" fillId="0" borderId="0" xfId="0" applyNumberFormat="1"/>
    <xf numFmtId="0" fontId="35" fillId="0" borderId="0" xfId="0" applyFont="1"/>
    <xf numFmtId="0" fontId="36" fillId="0" borderId="0" xfId="26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0" fillId="0" borderId="0" xfId="0" quotePrefix="1"/>
    <xf numFmtId="179" fontId="0" fillId="0" borderId="0" xfId="0" applyNumberFormat="1"/>
    <xf numFmtId="0" fontId="0" fillId="0" borderId="10" xfId="0" applyFont="1" applyFill="1" applyBorder="1" applyAlignment="1">
      <alignment horizontal="centerContinuous"/>
    </xf>
    <xf numFmtId="0" fontId="0" fillId="0" borderId="0" xfId="0" applyFill="1" applyBorder="1" applyAlignment="1"/>
    <xf numFmtId="0" fontId="0" fillId="0" borderId="11" xfId="0" applyFill="1" applyBorder="1" applyAlignment="1"/>
    <xf numFmtId="0" fontId="0" fillId="0" borderId="10" xfId="0" applyFont="1" applyFill="1" applyBorder="1" applyAlignment="1">
      <alignment horizontal="center"/>
    </xf>
    <xf numFmtId="0" fontId="11" fillId="0" borderId="0" xfId="0" applyFont="1"/>
    <xf numFmtId="180" fontId="0" fillId="0" borderId="0" xfId="0" applyNumberFormat="1"/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0" xfId="0" applyBorder="1"/>
    <xf numFmtId="0" fontId="11" fillId="0" borderId="0" xfId="0" applyFont="1" applyBorder="1" applyAlignment="1">
      <alignment horizontal="left" vertical="center" wrapText="1"/>
    </xf>
    <xf numFmtId="58" fontId="0" fillId="0" borderId="0" xfId="0" quotePrefix="1" applyNumberFormat="1"/>
    <xf numFmtId="0" fontId="22" fillId="0" borderId="0" xfId="27">
      <alignment vertical="center"/>
    </xf>
    <xf numFmtId="0" fontId="22" fillId="0" borderId="0" xfId="27" applyFill="1">
      <alignment vertical="center"/>
    </xf>
    <xf numFmtId="181" fontId="22" fillId="0" borderId="0" xfId="27" applyNumberFormat="1">
      <alignment vertical="center"/>
    </xf>
    <xf numFmtId="0" fontId="5" fillId="33" borderId="0" xfId="0" quotePrefix="1" applyFont="1" applyFill="1"/>
    <xf numFmtId="181" fontId="0" fillId="0" borderId="0" xfId="0" applyNumberFormat="1"/>
    <xf numFmtId="0" fontId="0" fillId="0" borderId="12" xfId="0" applyBorder="1"/>
    <xf numFmtId="182" fontId="0" fillId="0" borderId="0" xfId="0" applyNumberFormat="1"/>
    <xf numFmtId="0" fontId="0" fillId="33" borderId="0" xfId="0" applyFont="1" applyFill="1"/>
    <xf numFmtId="0" fontId="0" fillId="0" borderId="0" xfId="0" applyFont="1"/>
    <xf numFmtId="0" fontId="44" fillId="0" borderId="0" xfId="26" applyFont="1"/>
    <xf numFmtId="183" fontId="44" fillId="0" borderId="0" xfId="26" applyNumberFormat="1" applyFont="1"/>
    <xf numFmtId="176" fontId="44" fillId="0" borderId="0" xfId="26" applyNumberFormat="1" applyFont="1"/>
    <xf numFmtId="176" fontId="0" fillId="0" borderId="0" xfId="0" applyNumberFormat="1" applyFont="1"/>
    <xf numFmtId="0" fontId="47" fillId="0" borderId="0" xfId="0" applyFont="1"/>
    <xf numFmtId="0" fontId="3" fillId="33" borderId="0" xfId="45" applyFill="1">
      <alignment vertical="center"/>
    </xf>
    <xf numFmtId="0" fontId="3" fillId="0" borderId="0" xfId="45">
      <alignment vertical="center"/>
    </xf>
    <xf numFmtId="0" fontId="3" fillId="0" borderId="0" xfId="45" applyNumberFormat="1">
      <alignment vertical="center"/>
    </xf>
    <xf numFmtId="181" fontId="3" fillId="0" borderId="0" xfId="45" applyNumberFormat="1">
      <alignment vertical="center"/>
    </xf>
    <xf numFmtId="0" fontId="12" fillId="0" borderId="0" xfId="0" applyFont="1"/>
    <xf numFmtId="181" fontId="5" fillId="0" borderId="0" xfId="0" applyNumberFormat="1" applyFont="1"/>
    <xf numFmtId="0" fontId="5" fillId="0" borderId="0" xfId="0" applyNumberFormat="1" applyFont="1"/>
    <xf numFmtId="0" fontId="13" fillId="0" borderId="0" xfId="0" applyFont="1" applyFill="1"/>
    <xf numFmtId="0" fontId="6" fillId="0" borderId="0" xfId="0" applyFont="1" applyFill="1"/>
    <xf numFmtId="184" fontId="0" fillId="0" borderId="0" xfId="0" applyNumberFormat="1"/>
    <xf numFmtId="0" fontId="0" fillId="0" borderId="0" xfId="0" applyFill="1"/>
    <xf numFmtId="184" fontId="0" fillId="0" borderId="0" xfId="0" applyNumberFormat="1" applyFill="1"/>
    <xf numFmtId="185" fontId="0" fillId="0" borderId="0" xfId="0" applyNumberFormat="1"/>
    <xf numFmtId="185" fontId="0" fillId="0" borderId="0" xfId="0" applyNumberFormat="1" applyFill="1"/>
    <xf numFmtId="176" fontId="0" fillId="0" borderId="0" xfId="0" applyNumberFormat="1" applyFill="1"/>
    <xf numFmtId="181" fontId="0" fillId="0" borderId="0" xfId="0" applyNumberFormat="1" applyFill="1" applyBorder="1" applyAlignment="1"/>
    <xf numFmtId="0" fontId="22" fillId="33" borderId="0" xfId="0" applyFont="1" applyFill="1"/>
    <xf numFmtId="0" fontId="22" fillId="0" borderId="0" xfId="0" quotePrefix="1" applyFont="1"/>
    <xf numFmtId="0" fontId="22" fillId="0" borderId="0" xfId="0" applyFont="1" applyFill="1"/>
    <xf numFmtId="0" fontId="44" fillId="0" borderId="0" xfId="26" applyFont="1" applyFill="1"/>
    <xf numFmtId="0" fontId="44" fillId="0" borderId="0" xfId="26" quotePrefix="1" applyFont="1"/>
    <xf numFmtId="0" fontId="44" fillId="0" borderId="0" xfId="26" quotePrefix="1" applyFont="1" applyFill="1"/>
    <xf numFmtId="0" fontId="44" fillId="33" borderId="0" xfId="26" applyFont="1" applyFill="1"/>
    <xf numFmtId="181" fontId="44" fillId="0" borderId="0" xfId="26" applyNumberFormat="1" applyFont="1" applyFill="1"/>
    <xf numFmtId="181" fontId="44" fillId="0" borderId="0" xfId="26" applyNumberFormat="1" applyFont="1"/>
    <xf numFmtId="0" fontId="22" fillId="33" borderId="0" xfId="0" quotePrefix="1" applyFont="1" applyFill="1"/>
    <xf numFmtId="0" fontId="22" fillId="0" borderId="0" xfId="0" applyFont="1" applyBorder="1"/>
    <xf numFmtId="0" fontId="22" fillId="0" borderId="0" xfId="0" applyFont="1" applyBorder="1" applyAlignment="1">
      <alignment horizontal="justify" vertical="center" wrapText="1"/>
    </xf>
    <xf numFmtId="0" fontId="22" fillId="0" borderId="0" xfId="0" quotePrefix="1" applyFont="1" applyFill="1"/>
    <xf numFmtId="0" fontId="22" fillId="0" borderId="0" xfId="0" applyNumberFormat="1" applyFont="1"/>
    <xf numFmtId="181" fontId="0" fillId="0" borderId="0" xfId="0" applyNumberFormat="1" applyFill="1"/>
    <xf numFmtId="0" fontId="0" fillId="0" borderId="0" xfId="0" applyNumberFormat="1"/>
    <xf numFmtId="0" fontId="43" fillId="0" borderId="0" xfId="0" applyFont="1" applyFill="1"/>
    <xf numFmtId="0" fontId="2" fillId="0" borderId="0" xfId="45" applyFont="1">
      <alignment vertical="center"/>
    </xf>
    <xf numFmtId="181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176" fontId="3" fillId="0" borderId="0" xfId="45" applyNumberFormat="1">
      <alignment vertical="center"/>
    </xf>
  </cellXfs>
  <cellStyles count="46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百分比 2" xfId="19"/>
    <cellStyle name="标题 1 2" xfId="20"/>
    <cellStyle name="标题 2 2" xfId="21"/>
    <cellStyle name="标题 3 2" xfId="22"/>
    <cellStyle name="标题 4 2" xfId="23"/>
    <cellStyle name="标题 5" xfId="24"/>
    <cellStyle name="差 2" xfId="25"/>
    <cellStyle name="常规" xfId="0" builtinId="0"/>
    <cellStyle name="常规 2" xfId="26"/>
    <cellStyle name="常规 3" xfId="27"/>
    <cellStyle name="常规 4" xfId="45"/>
    <cellStyle name="好 2" xfId="28"/>
    <cellStyle name="汇总 2" xfId="29"/>
    <cellStyle name="计算 2" xfId="30"/>
    <cellStyle name="检查单元格 2" xfId="31"/>
    <cellStyle name="解释性文本 2" xfId="32"/>
    <cellStyle name="警告文本 2" xfId="33"/>
    <cellStyle name="链接单元格 2" xfId="34"/>
    <cellStyle name="强调文字颜色 1 2" xfId="35"/>
    <cellStyle name="强调文字颜色 2 2" xfId="36"/>
    <cellStyle name="强调文字颜色 3 2" xfId="37"/>
    <cellStyle name="强调文字颜色 4 2" xfId="38"/>
    <cellStyle name="强调文字颜色 5 2" xfId="39"/>
    <cellStyle name="强调文字颜色 6 2" xfId="40"/>
    <cellStyle name="适中 2" xfId="41"/>
    <cellStyle name="输出 2" xfId="42"/>
    <cellStyle name="输入 2" xfId="43"/>
    <cellStyle name="注释 2" xfId="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102144581173584"/>
          <c:y val="6.5155631954456394E-2"/>
          <c:w val="0.76888543768712325"/>
          <c:h val="0.73501072049092464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'2章'!$B$54:$B$154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'2章'!$C$54:$C$154</c:f>
              <c:numCache>
                <c:formatCode>General</c:formatCode>
                <c:ptCount val="101"/>
                <c:pt idx="0">
                  <c:v>0.95</c:v>
                </c:pt>
                <c:pt idx="1">
                  <c:v>0.94413580246913575</c:v>
                </c:pt>
                <c:pt idx="2">
                  <c:v>0.93763368770439515</c:v>
                </c:pt>
                <c:pt idx="3">
                  <c:v>0.9304363117305372</c:v>
                </c:pt>
                <c:pt idx="4">
                  <c:v>0.92248403643744115</c:v>
                </c:pt>
                <c:pt idx="5">
                  <c:v>0.91371555587298359</c:v>
                </c:pt>
                <c:pt idx="6">
                  <c:v>0.90406871900850394</c:v>
                </c:pt>
                <c:pt idx="7">
                  <c:v>0.89348156991236083</c:v>
                </c:pt>
                <c:pt idx="8">
                  <c:v>0.88189362068485999</c:v>
                </c:pt>
                <c:pt idx="9">
                  <c:v>0.86924736377860556</c:v>
                </c:pt>
                <c:pt idx="10">
                  <c:v>0.85549001804142333</c:v>
                </c:pt>
                <c:pt idx="11">
                  <c:v>0.84057548681685534</c:v>
                </c:pt>
                <c:pt idx="12">
                  <c:v>0.82446648695945579</c:v>
                </c:pt>
                <c:pt idx="13">
                  <c:v>0.80713678545086864</c:v>
                </c:pt>
                <c:pt idx="14">
                  <c:v>0.78857345687831393</c:v>
                </c:pt>
                <c:pt idx="15">
                  <c:v>0.76877905250272249</c:v>
                </c:pt>
                <c:pt idx="16">
                  <c:v>0.74777355277327906</c:v>
                </c:pt>
                <c:pt idx="17">
                  <c:v>0.72559596311679264</c:v>
                </c:pt>
                <c:pt idx="18">
                  <c:v>0.70230541083074927</c:v>
                </c:pt>
                <c:pt idx="19">
                  <c:v>0.67798161159249126</c:v>
                </c:pt>
                <c:pt idx="20">
                  <c:v>0.65272459897536284</c:v>
                </c:pt>
                <c:pt idx="21">
                  <c:v>0.62665364924735756</c:v>
                </c:pt>
                <c:pt idx="22">
                  <c:v>0.59990538437553187</c:v>
                </c:pt>
                <c:pt idx="23">
                  <c:v>0.57263109425907788</c:v>
                </c:pt>
                <c:pt idx="24">
                  <c:v>0.54499337879455023</c:v>
                </c:pt>
                <c:pt idx="25">
                  <c:v>0.51716226461793957</c:v>
                </c:pt>
                <c:pt idx="26">
                  <c:v>0.48931099368052494</c:v>
                </c:pt>
                <c:pt idx="27">
                  <c:v>0.46161170596707224</c:v>
                </c:pt>
                <c:pt idx="28">
                  <c:v>0.4342312436994426</c:v>
                </c:pt>
                <c:pt idx="29">
                  <c:v>0.40732728909643534</c:v>
                </c:pt>
                <c:pt idx="30">
                  <c:v>0.3810450147161335</c:v>
                </c:pt>
                <c:pt idx="31">
                  <c:v>0.35551437929886492</c:v>
                </c:pt>
                <c:pt idx="32">
                  <c:v>0.33084814883521896</c:v>
                </c:pt>
                <c:pt idx="33">
                  <c:v>0.30714066851496552</c:v>
                </c:pt>
                <c:pt idx="34">
                  <c:v>0.28446736177088677</c:v>
                </c:pt>
                <c:pt idx="35">
                  <c:v>0.26288489193409248</c:v>
                </c:pt>
                <c:pt idx="36">
                  <c:v>0.24243189247066915</c:v>
                </c:pt>
                <c:pt idx="37">
                  <c:v>0.22313015407904208</c:v>
                </c:pt>
                <c:pt idx="38">
                  <c:v>0.20498615036835635</c:v>
                </c:pt>
                <c:pt idx="39">
                  <c:v>0.18799278667473146</c:v>
                </c:pt>
                <c:pt idx="40">
                  <c:v>0.17213126651633659</c:v>
                </c:pt>
                <c:pt idx="41">
                  <c:v>0.15737298481166886</c:v>
                </c:pt>
                <c:pt idx="42">
                  <c:v>0.14368137403437486</c:v>
                </c:pt>
                <c:pt idx="43">
                  <c:v>0.13101364707221488</c:v>
                </c:pt>
                <c:pt idx="44">
                  <c:v>0.11932239728214379</c:v>
                </c:pt>
                <c:pt idx="45">
                  <c:v>0.10855703114420542</c:v>
                </c:pt>
                <c:pt idx="46">
                  <c:v>9.8665021490866006E-2</c:v>
                </c:pt>
                <c:pt idx="47">
                  <c:v>8.959297934163471E-2</c:v>
                </c:pt>
                <c:pt idx="48">
                  <c:v>8.1287549969774997E-2</c:v>
                </c:pt>
                <c:pt idx="49">
                  <c:v>7.3696144195563959E-2</c:v>
                </c:pt>
                <c:pt idx="50">
                  <c:v>6.67675193558845E-2</c:v>
                </c:pt>
                <c:pt idx="51">
                  <c:v>6.0452226294040949E-2</c:v>
                </c:pt>
                <c:pt idx="52">
                  <c:v>5.470293939246678E-2</c:v>
                </c:pt>
                <c:pt idx="53">
                  <c:v>4.9474686450272629E-2</c:v>
                </c:pt>
                <c:pt idx="54">
                  <c:v>4.4724994359798334E-2</c:v>
                </c:pt>
                <c:pt idx="55">
                  <c:v>4.0413965285661761E-2</c:v>
                </c:pt>
                <c:pt idx="56">
                  <c:v>3.6504296572980106E-2</c:v>
                </c:pt>
                <c:pt idx="57">
                  <c:v>3.2961256042048664E-2</c:v>
                </c:pt>
                <c:pt idx="58">
                  <c:v>2.9752622761207784E-2</c:v>
                </c:pt>
                <c:pt idx="59">
                  <c:v>2.6848601893731942E-2</c:v>
                </c:pt>
                <c:pt idx="60">
                  <c:v>2.4221720829942787E-2</c:v>
                </c:pt>
                <c:pt idx="61">
                  <c:v>2.184671256551492E-2</c:v>
                </c:pt>
                <c:pt idx="62">
                  <c:v>1.9700391180681918E-2</c:v>
                </c:pt>
                <c:pt idx="63">
                  <c:v>1.7761523312791901E-2</c:v>
                </c:pt>
                <c:pt idx="64">
                  <c:v>1.6010698690081218E-2</c:v>
                </c:pt>
                <c:pt idx="65">
                  <c:v>1.4430202097382272E-2</c:v>
                </c:pt>
                <c:pt idx="66">
                  <c:v>1.3003888562388337E-2</c:v>
                </c:pt>
                <c:pt idx="67">
                  <c:v>1.1717063070865603E-2</c:v>
                </c:pt>
                <c:pt idx="68">
                  <c:v>1.0556365727684459E-2</c:v>
                </c:pt>
                <c:pt idx="69">
                  <c:v>9.5096629652199269E-3</c:v>
                </c:pt>
                <c:pt idx="70">
                  <c:v>8.5659451499977349E-3</c:v>
                </c:pt>
                <c:pt idx="71">
                  <c:v>7.7152307420378591E-3</c:v>
                </c:pt>
                <c:pt idx="72">
                  <c:v>6.948477009981335E-3</c:v>
                </c:pt>
                <c:pt idx="73">
                  <c:v>6.2574971907814114E-3</c:v>
                </c:pt>
                <c:pt idx="74">
                  <c:v>5.6348838986272146E-3</c:v>
                </c:pt>
                <c:pt idx="75">
                  <c:v>5.0739385280122165E-3</c:v>
                </c:pt>
                <c:pt idx="76">
                  <c:v>4.5686063555537438E-3</c:v>
                </c:pt>
                <c:pt idx="77">
                  <c:v>4.1134170202234959E-3</c:v>
                </c:pt>
                <c:pt idx="78">
                  <c:v>3.7034300486820113E-3</c:v>
                </c:pt>
                <c:pt idx="79">
                  <c:v>3.3341850886502971E-3</c:v>
                </c:pt>
                <c:pt idx="80">
                  <c:v>3.0016565164444052E-3</c:v>
                </c:pt>
                <c:pt idx="81">
                  <c:v>2.702212093123321E-3</c:v>
                </c:pt>
                <c:pt idx="82">
                  <c:v>2.4325753557000881E-3</c:v>
                </c:pt>
                <c:pt idx="83">
                  <c:v>2.1897914443843097E-3</c:v>
                </c:pt>
                <c:pt idx="84">
                  <c:v>1.971196082952419E-3</c:v>
                </c:pt>
                <c:pt idx="85">
                  <c:v>1.7743874463742189E-3</c:v>
                </c:pt>
                <c:pt idx="86">
                  <c:v>1.5972006672184628E-3</c:v>
                </c:pt>
                <c:pt idx="87">
                  <c:v>1.4376847497077768E-3</c:v>
                </c:pt>
                <c:pt idx="88">
                  <c:v>1.2940816772915086E-3</c:v>
                </c:pt>
                <c:pt idx="89">
                  <c:v>1.1648075160364225E-3</c:v>
                </c:pt>
                <c:pt idx="90">
                  <c:v>1.0484353318487617E-3</c:v>
                </c:pt>
                <c:pt idx="91">
                  <c:v>9.4367975443867939E-4</c:v>
                </c:pt>
                <c:pt idx="92">
                  <c:v>8.4938303496168914E-4</c:v>
                </c:pt>
                <c:pt idx="93">
                  <c:v>7.6450245739501164E-4</c:v>
                </c:pt>
                <c:pt idx="94">
                  <c:v>6.8809897592637947E-4</c:v>
                </c:pt>
                <c:pt idx="95">
                  <c:v>6.1932696196333246E-4</c:v>
                </c:pt>
                <c:pt idx="96">
                  <c:v>5.5742495483917826E-4</c:v>
                </c:pt>
                <c:pt idx="97">
                  <c:v>5.0170731993326402E-4</c:v>
                </c:pt>
                <c:pt idx="98">
                  <c:v>4.5155672677948819E-4</c:v>
                </c:pt>
                <c:pt idx="99">
                  <c:v>4.0641736785305618E-4</c:v>
                </c:pt>
                <c:pt idx="100">
                  <c:v>3.6578884614806961E-4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302976"/>
        <c:axId val="204309248"/>
      </c:lineChart>
      <c:catAx>
        <c:axId val="204302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世代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309248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204309248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等位基因</a:t>
                </a:r>
                <a:r>
                  <a:rPr lang="en-US" altLang="zh-CN" i="1"/>
                  <a:t>a</a:t>
                </a:r>
                <a:r>
                  <a:rPr lang="zh-CN" altLang="en-US"/>
                  <a:t>的频率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302976"/>
        <c:crosses val="autoZero"/>
        <c:crossBetween val="between"/>
        <c:majorUnit val="0.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190425987548"/>
          <c:y val="5.1400554097404488E-2"/>
          <c:w val="0.79297982626648655"/>
          <c:h val="0.776597043016681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'12章'!$L$184:$L$232</c:f>
              <c:numCache>
                <c:formatCode>0.00_ </c:formatCode>
                <c:ptCount val="49"/>
                <c:pt idx="0">
                  <c:v>23.5</c:v>
                </c:pt>
                <c:pt idx="1">
                  <c:v>15.95</c:v>
                </c:pt>
                <c:pt idx="2">
                  <c:v>31.1</c:v>
                </c:pt>
                <c:pt idx="3">
                  <c:v>17</c:v>
                </c:pt>
                <c:pt idx="4">
                  <c:v>16.7</c:v>
                </c:pt>
                <c:pt idx="5">
                  <c:v>21.799999999999997</c:v>
                </c:pt>
                <c:pt idx="6">
                  <c:v>15.3</c:v>
                </c:pt>
                <c:pt idx="7">
                  <c:v>15.3</c:v>
                </c:pt>
                <c:pt idx="8">
                  <c:v>18</c:v>
                </c:pt>
                <c:pt idx="9">
                  <c:v>22</c:v>
                </c:pt>
                <c:pt idx="10">
                  <c:v>12.2</c:v>
                </c:pt>
                <c:pt idx="11">
                  <c:v>12.899999999999999</c:v>
                </c:pt>
                <c:pt idx="12">
                  <c:v>14.1</c:v>
                </c:pt>
                <c:pt idx="13">
                  <c:v>10.7</c:v>
                </c:pt>
                <c:pt idx="14">
                  <c:v>29</c:v>
                </c:pt>
                <c:pt idx="15">
                  <c:v>14.7</c:v>
                </c:pt>
                <c:pt idx="16">
                  <c:v>23</c:v>
                </c:pt>
                <c:pt idx="17">
                  <c:v>16.55</c:v>
                </c:pt>
                <c:pt idx="18">
                  <c:v>15.3</c:v>
                </c:pt>
                <c:pt idx="19">
                  <c:v>16.700000000000003</c:v>
                </c:pt>
                <c:pt idx="20">
                  <c:v>14.899999999999999</c:v>
                </c:pt>
                <c:pt idx="21">
                  <c:v>22.1</c:v>
                </c:pt>
                <c:pt idx="22">
                  <c:v>18.600000000000001</c:v>
                </c:pt>
                <c:pt idx="23">
                  <c:v>25</c:v>
                </c:pt>
                <c:pt idx="24">
                  <c:v>18.2</c:v>
                </c:pt>
                <c:pt idx="25">
                  <c:v>14.5</c:v>
                </c:pt>
                <c:pt idx="26">
                  <c:v>19.600000000000001</c:v>
                </c:pt>
                <c:pt idx="27">
                  <c:v>14.100000000000001</c:v>
                </c:pt>
                <c:pt idx="28">
                  <c:v>19.25</c:v>
                </c:pt>
                <c:pt idx="29">
                  <c:v>15.25</c:v>
                </c:pt>
                <c:pt idx="30">
                  <c:v>19.600000000000001</c:v>
                </c:pt>
                <c:pt idx="31">
                  <c:v>13.3</c:v>
                </c:pt>
                <c:pt idx="32">
                  <c:v>15.2</c:v>
                </c:pt>
                <c:pt idx="33">
                  <c:v>15.8</c:v>
                </c:pt>
                <c:pt idx="34">
                  <c:v>15.6</c:v>
                </c:pt>
                <c:pt idx="35">
                  <c:v>16.5</c:v>
                </c:pt>
                <c:pt idx="36">
                  <c:v>16.100000000000001</c:v>
                </c:pt>
                <c:pt idx="37">
                  <c:v>29.1</c:v>
                </c:pt>
                <c:pt idx="38">
                  <c:v>15.8</c:v>
                </c:pt>
                <c:pt idx="39">
                  <c:v>17</c:v>
                </c:pt>
                <c:pt idx="40">
                  <c:v>21.4</c:v>
                </c:pt>
                <c:pt idx="41">
                  <c:v>13.3</c:v>
                </c:pt>
                <c:pt idx="42">
                  <c:v>16.5</c:v>
                </c:pt>
                <c:pt idx="43">
                  <c:v>14.600000000000001</c:v>
                </c:pt>
                <c:pt idx="44">
                  <c:v>13.5</c:v>
                </c:pt>
                <c:pt idx="45">
                  <c:v>12.399999999999999</c:v>
                </c:pt>
                <c:pt idx="46">
                  <c:v>11.3</c:v>
                </c:pt>
                <c:pt idx="47">
                  <c:v>9.6</c:v>
                </c:pt>
                <c:pt idx="48">
                  <c:v>11</c:v>
                </c:pt>
              </c:numCache>
            </c:numRef>
          </c:xVal>
          <c:yVal>
            <c:numRef>
              <c:f>'12章'!$M$184:$M$232</c:f>
              <c:numCache>
                <c:formatCode>0.00_ </c:formatCode>
                <c:ptCount val="49"/>
                <c:pt idx="0">
                  <c:v>23.338775510204083</c:v>
                </c:pt>
                <c:pt idx="1">
                  <c:v>18.688775510204081</c:v>
                </c:pt>
                <c:pt idx="2">
                  <c:v>24.049489795918365</c:v>
                </c:pt>
                <c:pt idx="3">
                  <c:v>20.056632653061222</c:v>
                </c:pt>
                <c:pt idx="4">
                  <c:v>18.581632653061227</c:v>
                </c:pt>
                <c:pt idx="5">
                  <c:v>20.817346938775515</c:v>
                </c:pt>
                <c:pt idx="6">
                  <c:v>16.217346938775513</c:v>
                </c:pt>
                <c:pt idx="7">
                  <c:v>18.688775510204081</c:v>
                </c:pt>
                <c:pt idx="8">
                  <c:v>14.038775510204079</c:v>
                </c:pt>
                <c:pt idx="9">
                  <c:v>19.399489795918363</c:v>
                </c:pt>
                <c:pt idx="10">
                  <c:v>15.406632653061219</c:v>
                </c:pt>
                <c:pt idx="11">
                  <c:v>13.931632653061223</c:v>
                </c:pt>
                <c:pt idx="12">
                  <c:v>16.167346938775513</c:v>
                </c:pt>
                <c:pt idx="13">
                  <c:v>11.567346938775511</c:v>
                </c:pt>
                <c:pt idx="14">
                  <c:v>24.049489795918365</c:v>
                </c:pt>
                <c:pt idx="15">
                  <c:v>19.399489795918363</c:v>
                </c:pt>
                <c:pt idx="16">
                  <c:v>24.760204081632647</c:v>
                </c:pt>
                <c:pt idx="17">
                  <c:v>20.767346938775503</c:v>
                </c:pt>
                <c:pt idx="18">
                  <c:v>19.292346938775509</c:v>
                </c:pt>
                <c:pt idx="19">
                  <c:v>21.528061224489797</c:v>
                </c:pt>
                <c:pt idx="20">
                  <c:v>16.928061224489795</c:v>
                </c:pt>
                <c:pt idx="21">
                  <c:v>20.056632653061222</c:v>
                </c:pt>
                <c:pt idx="22">
                  <c:v>15.406632653061219</c:v>
                </c:pt>
                <c:pt idx="23">
                  <c:v>20.767346938775503</c:v>
                </c:pt>
                <c:pt idx="24">
                  <c:v>16.77448979591836</c:v>
                </c:pt>
                <c:pt idx="25">
                  <c:v>15.299489795918364</c:v>
                </c:pt>
                <c:pt idx="26">
                  <c:v>17.535204081632653</c:v>
                </c:pt>
                <c:pt idx="27">
                  <c:v>12.935204081632651</c:v>
                </c:pt>
                <c:pt idx="28">
                  <c:v>18.581632653061227</c:v>
                </c:pt>
                <c:pt idx="29">
                  <c:v>13.931632653061223</c:v>
                </c:pt>
                <c:pt idx="30">
                  <c:v>19.292346938775509</c:v>
                </c:pt>
                <c:pt idx="31">
                  <c:v>15.299489795918364</c:v>
                </c:pt>
                <c:pt idx="32">
                  <c:v>13.824489795918367</c:v>
                </c:pt>
                <c:pt idx="33">
                  <c:v>16.060204081632655</c:v>
                </c:pt>
                <c:pt idx="34">
                  <c:v>11.460204081632655</c:v>
                </c:pt>
                <c:pt idx="35">
                  <c:v>20.817346938775515</c:v>
                </c:pt>
                <c:pt idx="36">
                  <c:v>16.167346938775513</c:v>
                </c:pt>
                <c:pt idx="37">
                  <c:v>21.528061224489797</c:v>
                </c:pt>
                <c:pt idx="38">
                  <c:v>17.535204081632653</c:v>
                </c:pt>
                <c:pt idx="39">
                  <c:v>16.060204081632655</c:v>
                </c:pt>
                <c:pt idx="40">
                  <c:v>18.295918367346946</c:v>
                </c:pt>
                <c:pt idx="41">
                  <c:v>13.695918367346945</c:v>
                </c:pt>
                <c:pt idx="42">
                  <c:v>16.217346938775513</c:v>
                </c:pt>
                <c:pt idx="43">
                  <c:v>11.567346938775511</c:v>
                </c:pt>
                <c:pt idx="44">
                  <c:v>16.928061224489795</c:v>
                </c:pt>
                <c:pt idx="45">
                  <c:v>12.935204081632651</c:v>
                </c:pt>
                <c:pt idx="46">
                  <c:v>11.460204081632655</c:v>
                </c:pt>
                <c:pt idx="47">
                  <c:v>13.695918367346945</c:v>
                </c:pt>
                <c:pt idx="48">
                  <c:v>9.0959183673469433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146368"/>
        <c:axId val="209667584"/>
      </c:scatterChart>
      <c:valAx>
        <c:axId val="207146368"/>
        <c:scaling>
          <c:orientation val="minMax"/>
          <c:max val="3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观测值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9667584"/>
        <c:crosses val="autoZero"/>
        <c:crossBetween val="midCat"/>
        <c:majorUnit val="5"/>
      </c:valAx>
      <c:valAx>
        <c:axId val="209667584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预测值</a:t>
                </a:r>
                <a:endParaRPr lang="en-US" altLang="zh-CN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7146368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190425987548"/>
          <c:y val="5.1400554097404488E-2"/>
          <c:w val="0.79297982626648655"/>
          <c:h val="0.776597043016681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'12章'!$L$246:$L$294</c:f>
              <c:numCache>
                <c:formatCode>0.00_ </c:formatCode>
                <c:ptCount val="49"/>
                <c:pt idx="1">
                  <c:v>15.95</c:v>
                </c:pt>
                <c:pt idx="2">
                  <c:v>31.1</c:v>
                </c:pt>
                <c:pt idx="3">
                  <c:v>17</c:v>
                </c:pt>
                <c:pt idx="4">
                  <c:v>16.7</c:v>
                </c:pt>
                <c:pt idx="5">
                  <c:v>21.799999999999997</c:v>
                </c:pt>
                <c:pt idx="6">
                  <c:v>15.3</c:v>
                </c:pt>
                <c:pt idx="7">
                  <c:v>15.3</c:v>
                </c:pt>
                <c:pt idx="9">
                  <c:v>22</c:v>
                </c:pt>
                <c:pt idx="10">
                  <c:v>12.2</c:v>
                </c:pt>
                <c:pt idx="11">
                  <c:v>12.899999999999999</c:v>
                </c:pt>
                <c:pt idx="12">
                  <c:v>14.1</c:v>
                </c:pt>
                <c:pt idx="13">
                  <c:v>10.7</c:v>
                </c:pt>
                <c:pt idx="14">
                  <c:v>29</c:v>
                </c:pt>
                <c:pt idx="15">
                  <c:v>14.7</c:v>
                </c:pt>
                <c:pt idx="17">
                  <c:v>16.55</c:v>
                </c:pt>
                <c:pt idx="18">
                  <c:v>15.3</c:v>
                </c:pt>
                <c:pt idx="19">
                  <c:v>16.700000000000003</c:v>
                </c:pt>
                <c:pt idx="20">
                  <c:v>14.899999999999999</c:v>
                </c:pt>
                <c:pt idx="21">
                  <c:v>22.1</c:v>
                </c:pt>
                <c:pt idx="22">
                  <c:v>18.600000000000001</c:v>
                </c:pt>
                <c:pt idx="23">
                  <c:v>25</c:v>
                </c:pt>
                <c:pt idx="25">
                  <c:v>14.5</c:v>
                </c:pt>
                <c:pt idx="26">
                  <c:v>19.600000000000001</c:v>
                </c:pt>
                <c:pt idx="27">
                  <c:v>14.100000000000001</c:v>
                </c:pt>
                <c:pt idx="28">
                  <c:v>19.25</c:v>
                </c:pt>
                <c:pt idx="29">
                  <c:v>15.25</c:v>
                </c:pt>
                <c:pt idx="30">
                  <c:v>19.600000000000001</c:v>
                </c:pt>
                <c:pt idx="31">
                  <c:v>13.3</c:v>
                </c:pt>
                <c:pt idx="33">
                  <c:v>15.8</c:v>
                </c:pt>
                <c:pt idx="34">
                  <c:v>15.6</c:v>
                </c:pt>
                <c:pt idx="35">
                  <c:v>16.5</c:v>
                </c:pt>
                <c:pt idx="36">
                  <c:v>16.100000000000001</c:v>
                </c:pt>
                <c:pt idx="37">
                  <c:v>29.1</c:v>
                </c:pt>
                <c:pt idx="38">
                  <c:v>15.8</c:v>
                </c:pt>
                <c:pt idx="39">
                  <c:v>17</c:v>
                </c:pt>
                <c:pt idx="41">
                  <c:v>13.3</c:v>
                </c:pt>
                <c:pt idx="42">
                  <c:v>16.5</c:v>
                </c:pt>
                <c:pt idx="43">
                  <c:v>14.600000000000001</c:v>
                </c:pt>
                <c:pt idx="44">
                  <c:v>13.5</c:v>
                </c:pt>
                <c:pt idx="45">
                  <c:v>12.399999999999999</c:v>
                </c:pt>
                <c:pt idx="46">
                  <c:v>11.3</c:v>
                </c:pt>
                <c:pt idx="47">
                  <c:v>9.6</c:v>
                </c:pt>
              </c:numCache>
            </c:numRef>
          </c:xVal>
          <c:yVal>
            <c:numRef>
              <c:f>'12章'!$M$246:$M$294</c:f>
              <c:numCache>
                <c:formatCode>0.00_ </c:formatCode>
                <c:ptCount val="49"/>
                <c:pt idx="1">
                  <c:v>18.20333333333333</c:v>
                </c:pt>
                <c:pt idx="2">
                  <c:v>24.708333333333332</c:v>
                </c:pt>
                <c:pt idx="3">
                  <c:v>20.078333333333333</c:v>
                </c:pt>
                <c:pt idx="4">
                  <c:v>18.613333333333337</c:v>
                </c:pt>
                <c:pt idx="5">
                  <c:v>20.503333333333334</c:v>
                </c:pt>
                <c:pt idx="6">
                  <c:v>16.143333333333334</c:v>
                </c:pt>
                <c:pt idx="7">
                  <c:v>18.20333333333333</c:v>
                </c:pt>
                <c:pt idx="9">
                  <c:v>19.298333333333332</c:v>
                </c:pt>
                <c:pt idx="10">
                  <c:v>14.668333333333333</c:v>
                </c:pt>
                <c:pt idx="11">
                  <c:v>13.203333333333337</c:v>
                </c:pt>
                <c:pt idx="12">
                  <c:v>15.093333333333334</c:v>
                </c:pt>
                <c:pt idx="13">
                  <c:v>10.733333333333334</c:v>
                </c:pt>
                <c:pt idx="14">
                  <c:v>24.708333333333332</c:v>
                </c:pt>
                <c:pt idx="15">
                  <c:v>19.298333333333332</c:v>
                </c:pt>
                <c:pt idx="17">
                  <c:v>21.173333333333336</c:v>
                </c:pt>
                <c:pt idx="18">
                  <c:v>19.708333333333339</c:v>
                </c:pt>
                <c:pt idx="19">
                  <c:v>21.598333333333336</c:v>
                </c:pt>
                <c:pt idx="20">
                  <c:v>17.238333333333337</c:v>
                </c:pt>
                <c:pt idx="21">
                  <c:v>20.078333333333333</c:v>
                </c:pt>
                <c:pt idx="22">
                  <c:v>14.668333333333331</c:v>
                </c:pt>
                <c:pt idx="23">
                  <c:v>21.173333333333336</c:v>
                </c:pt>
                <c:pt idx="25">
                  <c:v>15.078333333333338</c:v>
                </c:pt>
                <c:pt idx="26">
                  <c:v>16.968333333333337</c:v>
                </c:pt>
                <c:pt idx="27">
                  <c:v>12.608333333333336</c:v>
                </c:pt>
                <c:pt idx="28">
                  <c:v>18.613333333333337</c:v>
                </c:pt>
                <c:pt idx="29">
                  <c:v>13.203333333333337</c:v>
                </c:pt>
                <c:pt idx="30">
                  <c:v>19.708333333333339</c:v>
                </c:pt>
                <c:pt idx="31">
                  <c:v>15.07833333333334</c:v>
                </c:pt>
                <c:pt idx="33">
                  <c:v>15.503333333333341</c:v>
                </c:pt>
                <c:pt idx="34">
                  <c:v>11.143333333333342</c:v>
                </c:pt>
                <c:pt idx="35">
                  <c:v>20.503333333333334</c:v>
                </c:pt>
                <c:pt idx="36">
                  <c:v>15.093333333333334</c:v>
                </c:pt>
                <c:pt idx="37">
                  <c:v>21.598333333333336</c:v>
                </c:pt>
                <c:pt idx="38">
                  <c:v>16.968333333333337</c:v>
                </c:pt>
                <c:pt idx="39">
                  <c:v>15.503333333333341</c:v>
                </c:pt>
                <c:pt idx="41">
                  <c:v>13.033333333333339</c:v>
                </c:pt>
                <c:pt idx="42">
                  <c:v>16.143333333333334</c:v>
                </c:pt>
                <c:pt idx="43">
                  <c:v>10.733333333333334</c:v>
                </c:pt>
                <c:pt idx="44">
                  <c:v>17.238333333333337</c:v>
                </c:pt>
                <c:pt idx="45">
                  <c:v>12.608333333333338</c:v>
                </c:pt>
                <c:pt idx="46">
                  <c:v>11.143333333333342</c:v>
                </c:pt>
                <c:pt idx="47">
                  <c:v>13.033333333333339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00352"/>
        <c:axId val="209702272"/>
      </c:scatterChart>
      <c:valAx>
        <c:axId val="209700352"/>
        <c:scaling>
          <c:orientation val="minMax"/>
          <c:max val="3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观测值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9702272"/>
        <c:crosses val="autoZero"/>
        <c:crossBetween val="midCat"/>
        <c:majorUnit val="5"/>
      </c:valAx>
      <c:valAx>
        <c:axId val="209702272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预测值</a:t>
                </a:r>
                <a:endParaRPr lang="en-US" altLang="zh-CN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9700352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190425987548"/>
          <c:y val="5.1400554097404488E-2"/>
          <c:w val="0.79297982626648655"/>
          <c:h val="0.776597043016681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'12章'!$L$308:$L$356</c:f>
              <c:numCache>
                <c:formatCode>0.00_ </c:formatCode>
                <c:ptCount val="49"/>
                <c:pt idx="0">
                  <c:v>23.5</c:v>
                </c:pt>
                <c:pt idx="7">
                  <c:v>15.3</c:v>
                </c:pt>
                <c:pt idx="8">
                  <c:v>18</c:v>
                </c:pt>
                <c:pt idx="14">
                  <c:v>29</c:v>
                </c:pt>
                <c:pt idx="15">
                  <c:v>14.7</c:v>
                </c:pt>
                <c:pt idx="16">
                  <c:v>23</c:v>
                </c:pt>
                <c:pt idx="21">
                  <c:v>22.1</c:v>
                </c:pt>
                <c:pt idx="22">
                  <c:v>18.600000000000001</c:v>
                </c:pt>
                <c:pt idx="23">
                  <c:v>25</c:v>
                </c:pt>
                <c:pt idx="24">
                  <c:v>18.2</c:v>
                </c:pt>
                <c:pt idx="28">
                  <c:v>19.25</c:v>
                </c:pt>
                <c:pt idx="29">
                  <c:v>15.25</c:v>
                </c:pt>
                <c:pt idx="30">
                  <c:v>19.600000000000001</c:v>
                </c:pt>
                <c:pt idx="31">
                  <c:v>13.3</c:v>
                </c:pt>
                <c:pt idx="32">
                  <c:v>15.2</c:v>
                </c:pt>
                <c:pt idx="35">
                  <c:v>16.5</c:v>
                </c:pt>
                <c:pt idx="36">
                  <c:v>16.100000000000001</c:v>
                </c:pt>
                <c:pt idx="37">
                  <c:v>29.1</c:v>
                </c:pt>
                <c:pt idx="38">
                  <c:v>15.8</c:v>
                </c:pt>
                <c:pt idx="39">
                  <c:v>17</c:v>
                </c:pt>
                <c:pt idx="40">
                  <c:v>21.4</c:v>
                </c:pt>
                <c:pt idx="42">
                  <c:v>16.5</c:v>
                </c:pt>
                <c:pt idx="43">
                  <c:v>14.600000000000001</c:v>
                </c:pt>
                <c:pt idx="44">
                  <c:v>13.5</c:v>
                </c:pt>
                <c:pt idx="45">
                  <c:v>12.399999999999999</c:v>
                </c:pt>
                <c:pt idx="46">
                  <c:v>11.3</c:v>
                </c:pt>
                <c:pt idx="47">
                  <c:v>9.6</c:v>
                </c:pt>
                <c:pt idx="48">
                  <c:v>11</c:v>
                </c:pt>
              </c:numCache>
            </c:numRef>
          </c:xVal>
          <c:yVal>
            <c:numRef>
              <c:f>'12章'!$M$308:$M$356</c:f>
              <c:numCache>
                <c:formatCode>0.00_ </c:formatCode>
                <c:ptCount val="49"/>
                <c:pt idx="0">
                  <c:v>23.06666666666667</c:v>
                </c:pt>
                <c:pt idx="7">
                  <c:v>19.166666666666671</c:v>
                </c:pt>
                <c:pt idx="8">
                  <c:v>15.266666666666671</c:v>
                </c:pt>
                <c:pt idx="14">
                  <c:v>24.316666666666666</c:v>
                </c:pt>
                <c:pt idx="15">
                  <c:v>20.416666666666668</c:v>
                </c:pt>
                <c:pt idx="16">
                  <c:v>25.566666666666663</c:v>
                </c:pt>
                <c:pt idx="21">
                  <c:v>20.616666666666667</c:v>
                </c:pt>
                <c:pt idx="22">
                  <c:v>16.716666666666669</c:v>
                </c:pt>
                <c:pt idx="23">
                  <c:v>21.866666666666664</c:v>
                </c:pt>
                <c:pt idx="24">
                  <c:v>18.166666666666664</c:v>
                </c:pt>
                <c:pt idx="28">
                  <c:v>18.672222222222224</c:v>
                </c:pt>
                <c:pt idx="29">
                  <c:v>14.772222222222226</c:v>
                </c:pt>
                <c:pt idx="30">
                  <c:v>19.922222222222221</c:v>
                </c:pt>
                <c:pt idx="31">
                  <c:v>16.222222222222221</c:v>
                </c:pt>
                <c:pt idx="32">
                  <c:v>14.277777777777779</c:v>
                </c:pt>
                <c:pt idx="35">
                  <c:v>20.983333333333334</c:v>
                </c:pt>
                <c:pt idx="36">
                  <c:v>17.083333333333336</c:v>
                </c:pt>
                <c:pt idx="37">
                  <c:v>22.233333333333331</c:v>
                </c:pt>
                <c:pt idx="38">
                  <c:v>18.533333333333331</c:v>
                </c:pt>
                <c:pt idx="39">
                  <c:v>16.588888888888889</c:v>
                </c:pt>
                <c:pt idx="40">
                  <c:v>18.899999999999999</c:v>
                </c:pt>
                <c:pt idx="42">
                  <c:v>15.761111111111113</c:v>
                </c:pt>
                <c:pt idx="43">
                  <c:v>11.861111111111114</c:v>
                </c:pt>
                <c:pt idx="44">
                  <c:v>17.011111111111109</c:v>
                </c:pt>
                <c:pt idx="45">
                  <c:v>13.31111111111111</c:v>
                </c:pt>
                <c:pt idx="46">
                  <c:v>11.366666666666667</c:v>
                </c:pt>
                <c:pt idx="47">
                  <c:v>13.677777777777777</c:v>
                </c:pt>
                <c:pt idx="48">
                  <c:v>8.4555555555555557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00608"/>
        <c:axId val="206923264"/>
      </c:scatterChart>
      <c:valAx>
        <c:axId val="206900608"/>
        <c:scaling>
          <c:orientation val="minMax"/>
          <c:max val="3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观测值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6923264"/>
        <c:crosses val="autoZero"/>
        <c:crossBetween val="midCat"/>
        <c:majorUnit val="5"/>
      </c:valAx>
      <c:valAx>
        <c:axId val="206923264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预测值</a:t>
                </a:r>
                <a:endParaRPr lang="en-US" altLang="zh-CN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6900608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190425987548"/>
          <c:y val="5.1400554097404488E-2"/>
          <c:w val="0.79297982626648655"/>
          <c:h val="0.776597043016681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'12章'!$L$370:$L$418</c:f>
              <c:numCache>
                <c:formatCode>0.00_ </c:formatCode>
                <c:ptCount val="49"/>
                <c:pt idx="7">
                  <c:v>15.3</c:v>
                </c:pt>
                <c:pt idx="14">
                  <c:v>29</c:v>
                </c:pt>
                <c:pt idx="15">
                  <c:v>14.7</c:v>
                </c:pt>
                <c:pt idx="21">
                  <c:v>22.1</c:v>
                </c:pt>
                <c:pt idx="22">
                  <c:v>18.600000000000001</c:v>
                </c:pt>
                <c:pt idx="23">
                  <c:v>25</c:v>
                </c:pt>
                <c:pt idx="28">
                  <c:v>19.25</c:v>
                </c:pt>
                <c:pt idx="29">
                  <c:v>15.25</c:v>
                </c:pt>
                <c:pt idx="30">
                  <c:v>19.600000000000001</c:v>
                </c:pt>
                <c:pt idx="31">
                  <c:v>13.3</c:v>
                </c:pt>
                <c:pt idx="35">
                  <c:v>16.5</c:v>
                </c:pt>
                <c:pt idx="36">
                  <c:v>16.100000000000001</c:v>
                </c:pt>
                <c:pt idx="37">
                  <c:v>29.1</c:v>
                </c:pt>
                <c:pt idx="38">
                  <c:v>15.8</c:v>
                </c:pt>
                <c:pt idx="39">
                  <c:v>17</c:v>
                </c:pt>
                <c:pt idx="42">
                  <c:v>16.5</c:v>
                </c:pt>
                <c:pt idx="43">
                  <c:v>14.600000000000001</c:v>
                </c:pt>
                <c:pt idx="44">
                  <c:v>13.5</c:v>
                </c:pt>
                <c:pt idx="45">
                  <c:v>12.399999999999999</c:v>
                </c:pt>
                <c:pt idx="46">
                  <c:v>11.3</c:v>
                </c:pt>
                <c:pt idx="47">
                  <c:v>9.6</c:v>
                </c:pt>
              </c:numCache>
            </c:numRef>
          </c:xVal>
          <c:yVal>
            <c:numRef>
              <c:f>'12章'!$M$370:$M$418</c:f>
              <c:numCache>
                <c:formatCode>0.00_ </c:formatCode>
                <c:ptCount val="49"/>
                <c:pt idx="7">
                  <c:v>18.340000000000003</c:v>
                </c:pt>
                <c:pt idx="14">
                  <c:v>25.610000000000003</c:v>
                </c:pt>
                <c:pt idx="15">
                  <c:v>20.79</c:v>
                </c:pt>
                <c:pt idx="21">
                  <c:v>20.870000000000005</c:v>
                </c:pt>
                <c:pt idx="22">
                  <c:v>16.05</c:v>
                </c:pt>
                <c:pt idx="23">
                  <c:v>23.32</c:v>
                </c:pt>
                <c:pt idx="28">
                  <c:v>18.570000000000004</c:v>
                </c:pt>
                <c:pt idx="29">
                  <c:v>13.75</c:v>
                </c:pt>
                <c:pt idx="30">
                  <c:v>21.02</c:v>
                </c:pt>
                <c:pt idx="31">
                  <c:v>16.28</c:v>
                </c:pt>
                <c:pt idx="35">
                  <c:v>20.250000000000004</c:v>
                </c:pt>
                <c:pt idx="36">
                  <c:v>15.430000000000001</c:v>
                </c:pt>
                <c:pt idx="37">
                  <c:v>22.7</c:v>
                </c:pt>
                <c:pt idx="38">
                  <c:v>17.96</c:v>
                </c:pt>
                <c:pt idx="39">
                  <c:v>15.660000000000002</c:v>
                </c:pt>
                <c:pt idx="42">
                  <c:v>15.010000000000002</c:v>
                </c:pt>
                <c:pt idx="43">
                  <c:v>10.189999999999998</c:v>
                </c:pt>
                <c:pt idx="44">
                  <c:v>17.459999999999997</c:v>
                </c:pt>
                <c:pt idx="45">
                  <c:v>12.719999999999999</c:v>
                </c:pt>
                <c:pt idx="46">
                  <c:v>10.419999999999998</c:v>
                </c:pt>
                <c:pt idx="47">
                  <c:v>12.099999999999998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47840"/>
        <c:axId val="206949760"/>
      </c:scatterChart>
      <c:valAx>
        <c:axId val="206947840"/>
        <c:scaling>
          <c:orientation val="minMax"/>
          <c:max val="3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观测值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6949760"/>
        <c:crosses val="autoZero"/>
        <c:crossBetween val="midCat"/>
        <c:majorUnit val="5"/>
      </c:valAx>
      <c:valAx>
        <c:axId val="206949760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预测值</a:t>
                </a:r>
                <a:endParaRPr lang="en-US" altLang="zh-CN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6947840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183321552446864"/>
          <c:y val="5.9499033681883015E-2"/>
          <c:w val="0.79989260215124469"/>
          <c:h val="0.76873433425323445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'13章'!$B$59:$B$79</c:f>
              <c:numCache>
                <c:formatCode>General</c:formatCode>
                <c:ptCount val="2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</c:numCache>
            </c:numRef>
          </c:cat>
          <c:val>
            <c:numRef>
              <c:f>'13章'!$E$59:$E$79</c:f>
              <c:numCache>
                <c:formatCode>General</c:formatCode>
                <c:ptCount val="21"/>
                <c:pt idx="0">
                  <c:v>8.7641502478797144E-4</c:v>
                </c:pt>
                <c:pt idx="1">
                  <c:v>2.6995483297700277E-3</c:v>
                </c:pt>
                <c:pt idx="2">
                  <c:v>6.4758799034246349E-3</c:v>
                </c:pt>
                <c:pt idx="3">
                  <c:v>1.2098538960104451E-2</c:v>
                </c:pt>
                <c:pt idx="4">
                  <c:v>1.7603314802135169E-2</c:v>
                </c:pt>
                <c:pt idx="5">
                  <c:v>1.9947783043853268E-2</c:v>
                </c:pt>
                <c:pt idx="6">
                  <c:v>1.7610459021713085E-2</c:v>
                </c:pt>
                <c:pt idx="7">
                  <c:v>1.2158759827551368E-2</c:v>
                </c:pt>
                <c:pt idx="8">
                  <c:v>6.8685869960651794E-3</c:v>
                </c:pt>
                <c:pt idx="9">
                  <c:v>4.693880111031507E-3</c:v>
                </c:pt>
                <c:pt idx="10">
                  <c:v>8.7641502467842719E-3</c:v>
                </c:pt>
                <c:pt idx="11">
                  <c:v>2.451752735153153E-2</c:v>
                </c:pt>
                <c:pt idx="12">
                  <c:v>5.8326552184403573E-2</c:v>
                </c:pt>
                <c:pt idx="13">
                  <c:v>0.10889351754490277</c:v>
                </c:pt>
                <c:pt idx="14">
                  <c:v>0.15843019623099014</c:v>
                </c:pt>
                <c:pt idx="15">
                  <c:v>0.17952410051662046</c:v>
                </c:pt>
                <c:pt idx="16">
                  <c:v>0.15842940242881481</c:v>
                </c:pt>
                <c:pt idx="17">
                  <c:v>0.10888682633740866</c:v>
                </c:pt>
                <c:pt idx="18">
                  <c:v>5.8282918062999067E-2</c:v>
                </c:pt>
                <c:pt idx="19">
                  <c:v>2.4295934931391365E-2</c:v>
                </c:pt>
                <c:pt idx="20">
                  <c:v>7.8877352221180148E-3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15648"/>
        <c:axId val="209517568"/>
      </c:lineChart>
      <c:catAx>
        <c:axId val="209515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性状值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7568"/>
        <c:crosses val="autoZero"/>
        <c:auto val="1"/>
        <c:lblAlgn val="ctr"/>
        <c:lblOffset val="100"/>
        <c:noMultiLvlLbl val="0"/>
      </c:catAx>
      <c:valAx>
        <c:axId val="2095175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概论密度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56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183321552446864"/>
          <c:y val="5.9499033681883015E-2"/>
          <c:w val="0.79989260215124469"/>
          <c:h val="0.76873433425323445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'13章'!$B$90:$B$110</c:f>
              <c:numCache>
                <c:formatCode>General</c:formatCode>
                <c:ptCount val="2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</c:numCache>
            </c:numRef>
          </c:cat>
          <c:val>
            <c:numRef>
              <c:f>'13章'!$F$90:$F$110</c:f>
              <c:numCache>
                <c:formatCode>General</c:formatCode>
                <c:ptCount val="21"/>
                <c:pt idx="0">
                  <c:v>7.0989617239224853E-3</c:v>
                </c:pt>
                <c:pt idx="1">
                  <c:v>2.1866341984716296E-2</c:v>
                </c:pt>
                <c:pt idx="2">
                  <c:v>5.2454635938804971E-2</c:v>
                </c:pt>
                <c:pt idx="3">
                  <c:v>9.7998277265388803E-2</c:v>
                </c:pt>
                <c:pt idx="4">
                  <c:v>0.14258789641472894</c:v>
                </c:pt>
                <c:pt idx="5">
                  <c:v>0.16158367571649668</c:v>
                </c:pt>
                <c:pt idx="6">
                  <c:v>0.14266507870080097</c:v>
                </c:pt>
                <c:pt idx="7">
                  <c:v>9.8397678938456315E-2</c:v>
                </c:pt>
                <c:pt idx="8">
                  <c:v>5.4036536702582558E-2</c:v>
                </c:pt>
                <c:pt idx="9">
                  <c:v>2.6747687666087781E-2</c:v>
                </c:pt>
                <c:pt idx="10">
                  <c:v>1.8843186812293362E-2</c:v>
                </c:pt>
                <c:pt idx="11">
                  <c:v>2.384221864612374E-2</c:v>
                </c:pt>
                <c:pt idx="12">
                  <c:v>3.2686903878609952E-2</c:v>
                </c:pt>
                <c:pt idx="13">
                  <c:v>3.7168860100159441E-2</c:v>
                </c:pt>
                <c:pt idx="14">
                  <c:v>3.3452679457756755E-2</c:v>
                </c:pt>
                <c:pt idx="15">
                  <c:v>2.3772678730133535E-2</c:v>
                </c:pt>
                <c:pt idx="16">
                  <c:v>1.341695386127993E-2</c:v>
                </c:pt>
                <c:pt idx="17">
                  <c:v>6.0690430695151979E-3</c:v>
                </c:pt>
                <c:pt idx="18">
                  <c:v>2.2251351308676709E-3</c:v>
                </c:pt>
                <c:pt idx="19">
                  <c:v>6.6882119333992295E-4</c:v>
                </c:pt>
                <c:pt idx="20">
                  <c:v>1.6618294512055112E-4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45856"/>
        <c:axId val="209564416"/>
      </c:lineChart>
      <c:catAx>
        <c:axId val="20954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性状值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64416"/>
        <c:crosses val="autoZero"/>
        <c:auto val="1"/>
        <c:lblAlgn val="ctr"/>
        <c:lblOffset val="100"/>
        <c:noMultiLvlLbl val="0"/>
      </c:catAx>
      <c:valAx>
        <c:axId val="20956441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概论密度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4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96910456725824"/>
          <c:y val="3.7052335671155859E-2"/>
          <c:w val="0.78840289948082509"/>
          <c:h val="0.6931520478544832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'3章'!$D$2:$D$12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cat>
          <c:val>
            <c:numRef>
              <c:f>'3章'!$F$2:$F$12</c:f>
              <c:numCache>
                <c:formatCode>General</c:formatCode>
                <c:ptCount val="11"/>
                <c:pt idx="0">
                  <c:v>1.0240000000000004E-7</c:v>
                </c:pt>
                <c:pt idx="1">
                  <c:v>4.0959999999999935E-6</c:v>
                </c:pt>
                <c:pt idx="2">
                  <c:v>7.3727999999999861E-5</c:v>
                </c:pt>
                <c:pt idx="3">
                  <c:v>7.8643199999999815E-4</c:v>
                </c:pt>
                <c:pt idx="4">
                  <c:v>5.5050239999999894E-3</c:v>
                </c:pt>
                <c:pt idx="5">
                  <c:v>2.642411519999999E-2</c:v>
                </c:pt>
                <c:pt idx="6">
                  <c:v>8.8080383999999984E-2</c:v>
                </c:pt>
                <c:pt idx="7">
                  <c:v>0.20132659199999994</c:v>
                </c:pt>
                <c:pt idx="8">
                  <c:v>0.3019898880000001</c:v>
                </c:pt>
                <c:pt idx="9">
                  <c:v>0.26843545600000007</c:v>
                </c:pt>
                <c:pt idx="10">
                  <c:v>0.10737418240000005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038336"/>
        <c:axId val="205040256"/>
      </c:barChart>
      <c:catAx>
        <c:axId val="205038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等位基因</a:t>
                </a:r>
                <a:r>
                  <a:rPr lang="en-US" altLang="en-US" i="1"/>
                  <a:t>A</a:t>
                </a:r>
                <a:r>
                  <a:rPr lang="zh-CN" altLang="en-US"/>
                  <a:t>的个数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5040256"/>
        <c:crosses val="autoZero"/>
        <c:auto val="1"/>
        <c:lblAlgn val="ctr"/>
        <c:lblOffset val="100"/>
        <c:noMultiLvlLbl val="0"/>
      </c:catAx>
      <c:valAx>
        <c:axId val="205040256"/>
        <c:scaling>
          <c:orientation val="minMax"/>
          <c:max val="0.3000000000000000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5038336"/>
        <c:crosses val="autoZero"/>
        <c:crossBetween val="between"/>
        <c:majorUnit val="0.1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34044394035233"/>
          <c:y val="7.0358172908994737E-2"/>
          <c:w val="0.85770679288357654"/>
          <c:h val="0.77475757652479937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9050">
              <a:solidFill>
                <a:schemeClr val="tx1"/>
              </a:solidFill>
              <a:prstDash val="solid"/>
            </a:ln>
          </c:spPr>
          <c:invertIfNegative val="0"/>
          <c:dLbls>
            <c:numFmt formatCode="#,##0.0000_);[Red]\(#,##0.0000\)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'3章'!$C$89:$C$98</c:f>
              <c:numCache>
                <c:formatCode>General</c:formatCode>
                <c:ptCount val="10"/>
                <c:pt idx="0">
                  <c:v>0.36787944117144233</c:v>
                </c:pt>
                <c:pt idx="1">
                  <c:v>0.53146360538661563</c:v>
                </c:pt>
                <c:pt idx="2">
                  <c:v>0.62591769471732239</c:v>
                </c:pt>
                <c:pt idx="3">
                  <c:v>0.68792029002494448</c:v>
                </c:pt>
                <c:pt idx="4">
                  <c:v>0.73192318432428294</c:v>
                </c:pt>
                <c:pt idx="5">
                  <c:v>0.76484902645146535</c:v>
                </c:pt>
                <c:pt idx="6">
                  <c:v>0.79045150335149128</c:v>
                </c:pt>
                <c:pt idx="7">
                  <c:v>0.81095031010728236</c:v>
                </c:pt>
                <c:pt idx="8">
                  <c:v>0.82774537509394375</c:v>
                </c:pt>
                <c:pt idx="9">
                  <c:v>0.84176481159268679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688000"/>
        <c:axId val="204698368"/>
      </c:barChart>
      <c:catAx>
        <c:axId val="204688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世代</a:t>
                </a:r>
              </a:p>
            </c:rich>
          </c:tx>
          <c:overlay val="0"/>
        </c:title>
        <c:majorTickMark val="out"/>
        <c:minorTickMark val="none"/>
        <c:tickLblPos val="nextTo"/>
        <c:crossAx val="204698368"/>
        <c:crosses val="autoZero"/>
        <c:auto val="1"/>
        <c:lblAlgn val="ctr"/>
        <c:lblOffset val="100"/>
        <c:noMultiLvlLbl val="0"/>
      </c:catAx>
      <c:valAx>
        <c:axId val="2046983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丢失概率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6880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29295821493387"/>
          <c:y val="5.9690966048598762E-2"/>
          <c:w val="0.8486865794668228"/>
          <c:h val="0.7357302514605029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'5章'!$A$66:$A$165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'5章'!$B$66:$B$165</c:f>
              <c:numCache>
                <c:formatCode>General</c:formatCode>
                <c:ptCount val="100"/>
                <c:pt idx="0">
                  <c:v>0.05</c:v>
                </c:pt>
                <c:pt idx="1">
                  <c:v>4.7500000000000001E-2</c:v>
                </c:pt>
                <c:pt idx="2">
                  <c:v>4.5124999999999998E-2</c:v>
                </c:pt>
                <c:pt idx="3">
                  <c:v>4.2868749999999997E-2</c:v>
                </c:pt>
                <c:pt idx="4">
                  <c:v>4.0725312499999999E-2</c:v>
                </c:pt>
                <c:pt idx="5">
                  <c:v>3.8689046875000001E-2</c:v>
                </c:pt>
                <c:pt idx="6">
                  <c:v>3.6754594531249997E-2</c:v>
                </c:pt>
                <c:pt idx="7">
                  <c:v>3.4916864804687496E-2</c:v>
                </c:pt>
                <c:pt idx="8">
                  <c:v>3.3171021564453125E-2</c:v>
                </c:pt>
                <c:pt idx="9">
                  <c:v>3.1512470486230466E-2</c:v>
                </c:pt>
                <c:pt idx="10">
                  <c:v>2.9936846961918947E-2</c:v>
                </c:pt>
                <c:pt idx="11">
                  <c:v>2.8440004613822997E-2</c:v>
                </c:pt>
                <c:pt idx="12">
                  <c:v>2.7018004383131844E-2</c:v>
                </c:pt>
                <c:pt idx="13">
                  <c:v>2.5667104163975253E-2</c:v>
                </c:pt>
                <c:pt idx="14">
                  <c:v>2.4383748955776489E-2</c:v>
                </c:pt>
                <c:pt idx="15">
                  <c:v>2.3164561507987666E-2</c:v>
                </c:pt>
                <c:pt idx="16">
                  <c:v>2.2006333432588284E-2</c:v>
                </c:pt>
                <c:pt idx="17">
                  <c:v>2.0906016760958868E-2</c:v>
                </c:pt>
                <c:pt idx="18">
                  <c:v>1.9860715922910926E-2</c:v>
                </c:pt>
                <c:pt idx="19">
                  <c:v>1.8867680126765377E-2</c:v>
                </c:pt>
                <c:pt idx="20">
                  <c:v>1.7924296120427109E-2</c:v>
                </c:pt>
                <c:pt idx="21">
                  <c:v>1.7028081314405755E-2</c:v>
                </c:pt>
                <c:pt idx="22">
                  <c:v>1.6176677248685465E-2</c:v>
                </c:pt>
                <c:pt idx="23">
                  <c:v>1.5367843386251193E-2</c:v>
                </c:pt>
                <c:pt idx="24">
                  <c:v>1.4599451216938633E-2</c:v>
                </c:pt>
                <c:pt idx="25">
                  <c:v>1.3869478656091699E-2</c:v>
                </c:pt>
                <c:pt idx="26">
                  <c:v>1.3176004723287116E-2</c:v>
                </c:pt>
                <c:pt idx="27">
                  <c:v>1.2517204487122761E-2</c:v>
                </c:pt>
                <c:pt idx="28">
                  <c:v>1.1891344262766621E-2</c:v>
                </c:pt>
                <c:pt idx="29">
                  <c:v>1.129677704962829E-2</c:v>
                </c:pt>
                <c:pt idx="30">
                  <c:v>1.0731938197146875E-2</c:v>
                </c:pt>
                <c:pt idx="31">
                  <c:v>1.0195341287289533E-2</c:v>
                </c:pt>
                <c:pt idx="32">
                  <c:v>9.6855742229250558E-3</c:v>
                </c:pt>
                <c:pt idx="33">
                  <c:v>9.2012955117788033E-3</c:v>
                </c:pt>
                <c:pt idx="34">
                  <c:v>8.7412307361898634E-3</c:v>
                </c:pt>
                <c:pt idx="35">
                  <c:v>8.3041691993803683E-3</c:v>
                </c:pt>
                <c:pt idx="36">
                  <c:v>7.8889607394113503E-3</c:v>
                </c:pt>
                <c:pt idx="37">
                  <c:v>7.4945127024407844E-3</c:v>
                </c:pt>
                <c:pt idx="38">
                  <c:v>7.1197870673187433E-3</c:v>
                </c:pt>
                <c:pt idx="39">
                  <c:v>6.7637977139528077E-3</c:v>
                </c:pt>
                <c:pt idx="40">
                  <c:v>6.4256078282551674E-3</c:v>
                </c:pt>
                <c:pt idx="41">
                  <c:v>6.1043274368424083E-3</c:v>
                </c:pt>
                <c:pt idx="42">
                  <c:v>5.799111065000289E-3</c:v>
                </c:pt>
                <c:pt idx="43">
                  <c:v>5.5091555117502732E-3</c:v>
                </c:pt>
                <c:pt idx="44">
                  <c:v>5.2336977361627591E-3</c:v>
                </c:pt>
                <c:pt idx="45">
                  <c:v>4.9720128493546218E-3</c:v>
                </c:pt>
                <c:pt idx="46">
                  <c:v>4.7234122068868902E-3</c:v>
                </c:pt>
                <c:pt idx="47">
                  <c:v>4.4872415965425466E-3</c:v>
                </c:pt>
                <c:pt idx="48">
                  <c:v>4.2628795167154185E-3</c:v>
                </c:pt>
                <c:pt idx="49">
                  <c:v>4.049735540879648E-3</c:v>
                </c:pt>
                <c:pt idx="50">
                  <c:v>3.8472487638356655E-3</c:v>
                </c:pt>
                <c:pt idx="51">
                  <c:v>3.6548863256438816E-3</c:v>
                </c:pt>
                <c:pt idx="52">
                  <c:v>3.4721420093616878E-3</c:v>
                </c:pt>
                <c:pt idx="53">
                  <c:v>3.2985349088936037E-3</c:v>
                </c:pt>
                <c:pt idx="54">
                  <c:v>3.1336081634489228E-3</c:v>
                </c:pt>
                <c:pt idx="55">
                  <c:v>2.9769277552764775E-3</c:v>
                </c:pt>
                <c:pt idx="56">
                  <c:v>2.8280813675126536E-3</c:v>
                </c:pt>
                <c:pt idx="57">
                  <c:v>2.6866772991370204E-3</c:v>
                </c:pt>
                <c:pt idx="58">
                  <c:v>2.5523434341801696E-3</c:v>
                </c:pt>
                <c:pt idx="59">
                  <c:v>2.4247262624711614E-3</c:v>
                </c:pt>
                <c:pt idx="60">
                  <c:v>2.3034899493476024E-3</c:v>
                </c:pt>
                <c:pt idx="61">
                  <c:v>2.1883154518802226E-3</c:v>
                </c:pt>
                <c:pt idx="62">
                  <c:v>2.0788996792862114E-3</c:v>
                </c:pt>
                <c:pt idx="63">
                  <c:v>1.9749546953219013E-3</c:v>
                </c:pt>
                <c:pt idx="64">
                  <c:v>1.876206960555806E-3</c:v>
                </c:pt>
                <c:pt idx="65">
                  <c:v>1.7823966125280156E-3</c:v>
                </c:pt>
                <c:pt idx="66">
                  <c:v>1.6932767819016149E-3</c:v>
                </c:pt>
                <c:pt idx="67">
                  <c:v>1.6086129428065339E-3</c:v>
                </c:pt>
                <c:pt idx="68">
                  <c:v>1.5281822956662073E-3</c:v>
                </c:pt>
                <c:pt idx="69">
                  <c:v>1.4517731808828972E-3</c:v>
                </c:pt>
                <c:pt idx="70">
                  <c:v>1.379184521838752E-3</c:v>
                </c:pt>
                <c:pt idx="71">
                  <c:v>1.3102252957468143E-3</c:v>
                </c:pt>
                <c:pt idx="72">
                  <c:v>1.2447140309594738E-3</c:v>
                </c:pt>
                <c:pt idx="73">
                  <c:v>1.1824783294115001E-3</c:v>
                </c:pt>
                <c:pt idx="74">
                  <c:v>1.1233544129409252E-3</c:v>
                </c:pt>
                <c:pt idx="75">
                  <c:v>1.0671866922938786E-3</c:v>
                </c:pt>
                <c:pt idx="76">
                  <c:v>1.0138273576791848E-3</c:v>
                </c:pt>
                <c:pt idx="77">
                  <c:v>9.6313598979522554E-4</c:v>
                </c:pt>
                <c:pt idx="78">
                  <c:v>9.1497919030546432E-4</c:v>
                </c:pt>
                <c:pt idx="79">
                  <c:v>8.6923023079019102E-4</c:v>
                </c:pt>
                <c:pt idx="80">
                  <c:v>8.2576871925068142E-4</c:v>
                </c:pt>
                <c:pt idx="81">
                  <c:v>7.8448028328814744E-4</c:v>
                </c:pt>
                <c:pt idx="82">
                  <c:v>7.4525626912374003E-4</c:v>
                </c:pt>
                <c:pt idx="83">
                  <c:v>7.0799345566755303E-4</c:v>
                </c:pt>
                <c:pt idx="84">
                  <c:v>6.7259378288417543E-4</c:v>
                </c:pt>
                <c:pt idx="85">
                  <c:v>6.3896409373996664E-4</c:v>
                </c:pt>
                <c:pt idx="86">
                  <c:v>6.0701588905296821E-4</c:v>
                </c:pt>
                <c:pt idx="87">
                  <c:v>5.7666509460031984E-4</c:v>
                </c:pt>
                <c:pt idx="88">
                  <c:v>5.4783183987030387E-4</c:v>
                </c:pt>
                <c:pt idx="89">
                  <c:v>5.2044024787678859E-4</c:v>
                </c:pt>
                <c:pt idx="90">
                  <c:v>4.9441823548294927E-4</c:v>
                </c:pt>
                <c:pt idx="91">
                  <c:v>4.6969732370880177E-4</c:v>
                </c:pt>
                <c:pt idx="92">
                  <c:v>4.4621245752336167E-4</c:v>
                </c:pt>
                <c:pt idx="93">
                  <c:v>4.2390183464719356E-4</c:v>
                </c:pt>
                <c:pt idx="94">
                  <c:v>4.0270674291483383E-4</c:v>
                </c:pt>
                <c:pt idx="95">
                  <c:v>3.8257140576909222E-4</c:v>
                </c:pt>
                <c:pt idx="96">
                  <c:v>3.6344283548063764E-4</c:v>
                </c:pt>
                <c:pt idx="97">
                  <c:v>3.4527069370660573E-4</c:v>
                </c:pt>
                <c:pt idx="98">
                  <c:v>3.2800715902127548E-4</c:v>
                </c:pt>
                <c:pt idx="99">
                  <c:v>3.116068010702116E-4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301824"/>
        <c:axId val="205062912"/>
      </c:barChart>
      <c:catAx>
        <c:axId val="206301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时间（用随机交配世代数表示）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5062912"/>
        <c:crosses val="autoZero"/>
        <c:auto val="1"/>
        <c:lblAlgn val="ctr"/>
        <c:lblOffset val="100"/>
        <c:noMultiLvlLbl val="0"/>
      </c:catAx>
      <c:valAx>
        <c:axId val="205062912"/>
        <c:scaling>
          <c:orientation val="minMax"/>
          <c:max val="5.000000000000001E-2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融合概率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6301824"/>
        <c:crosses val="autoZero"/>
        <c:crossBetween val="between"/>
        <c:majorUnit val="1.0000000000000002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74456479325061"/>
          <c:y val="5.1543731128316485E-2"/>
          <c:w val="0.83956477271327001"/>
          <c:h val="0.77644302122401831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'6章'!$C$74:$C$94</c:f>
              <c:numCache>
                <c:formatCode>0.0000_ </c:formatCode>
                <c:ptCount val="21"/>
                <c:pt idx="1">
                  <c:v>4.6457144227980273E-4</c:v>
                </c:pt>
                <c:pt idx="2">
                  <c:v>1.621513661799199E-3</c:v>
                </c:pt>
                <c:pt idx="3">
                  <c:v>3.4327444489665828E-3</c:v>
                </c:pt>
                <c:pt idx="4">
                  <c:v>4.4077311214668477E-3</c:v>
                </c:pt>
                <c:pt idx="5">
                  <c:v>3.4327444489665828E-3</c:v>
                </c:pt>
                <c:pt idx="6">
                  <c:v>1.621513661799199E-3</c:v>
                </c:pt>
                <c:pt idx="7">
                  <c:v>4.6457144227980273E-4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'6章'!$D$74:$D$94</c:f>
              <c:numCache>
                <c:formatCode>0.0000_ </c:formatCode>
                <c:ptCount val="21"/>
                <c:pt idx="2">
                  <c:v>4.8438246923653287E-4</c:v>
                </c:pt>
                <c:pt idx="3">
                  <c:v>2.7874286536788149E-3</c:v>
                </c:pt>
                <c:pt idx="4">
                  <c:v>9.7290819707951896E-3</c:v>
                </c:pt>
                <c:pt idx="5">
                  <c:v>2.0596466693799487E-2</c:v>
                </c:pt>
                <c:pt idx="6">
                  <c:v>2.6446386728801077E-2</c:v>
                </c:pt>
                <c:pt idx="7">
                  <c:v>2.0596466693799487E-2</c:v>
                </c:pt>
                <c:pt idx="8">
                  <c:v>9.7290819707951896E-3</c:v>
                </c:pt>
                <c:pt idx="9">
                  <c:v>2.7874286536788149E-3</c:v>
                </c:pt>
                <c:pt idx="10">
                  <c:v>4.8438246923653287E-4</c:v>
                </c:pt>
              </c:numCache>
            </c:numRef>
          </c:val>
          <c:smooth val="1"/>
        </c:ser>
        <c:ser>
          <c:idx val="2"/>
          <c:order val="2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'6章'!$E$74:$E$94</c:f>
              <c:numCache>
                <c:formatCode>0.0000_ </c:formatCode>
                <c:ptCount val="21"/>
                <c:pt idx="3">
                  <c:v>1.2763384162222923E-4</c:v>
                </c:pt>
                <c:pt idx="4">
                  <c:v>1.2109561730913323E-3</c:v>
                </c:pt>
                <c:pt idx="5">
                  <c:v>6.9685716341970384E-3</c:v>
                </c:pt>
                <c:pt idx="6">
                  <c:v>2.4322704926987977E-2</c:v>
                </c:pt>
                <c:pt idx="7">
                  <c:v>5.1491166734498724E-2</c:v>
                </c:pt>
                <c:pt idx="8">
                  <c:v>6.61159668220027E-2</c:v>
                </c:pt>
                <c:pt idx="9">
                  <c:v>5.1491166734498724E-2</c:v>
                </c:pt>
                <c:pt idx="10">
                  <c:v>2.4322704926987977E-2</c:v>
                </c:pt>
                <c:pt idx="11">
                  <c:v>6.9685716341970384E-3</c:v>
                </c:pt>
                <c:pt idx="12">
                  <c:v>1.2109561730913323E-3</c:v>
                </c:pt>
                <c:pt idx="13">
                  <c:v>1.2763384162222923E-4</c:v>
                </c:pt>
              </c:numCache>
            </c:numRef>
          </c:val>
          <c:smooth val="1"/>
        </c:ser>
        <c:ser>
          <c:idx val="3"/>
          <c:order val="3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'6章'!$F$74:$F$94</c:f>
              <c:numCache>
                <c:formatCode>0.0000_ </c:formatCode>
                <c:ptCount val="21"/>
                <c:pt idx="5">
                  <c:v>1.7017845549630557E-4</c:v>
                </c:pt>
                <c:pt idx="6">
                  <c:v>1.6146082307884426E-3</c:v>
                </c:pt>
                <c:pt idx="7">
                  <c:v>9.2914288455960489E-3</c:v>
                </c:pt>
                <c:pt idx="8">
                  <c:v>3.2430273235983964E-2</c:v>
                </c:pt>
                <c:pt idx="9">
                  <c:v>6.8654888979331613E-2</c:v>
                </c:pt>
                <c:pt idx="10">
                  <c:v>8.8154622429336901E-2</c:v>
                </c:pt>
                <c:pt idx="11">
                  <c:v>6.8654888979331613E-2</c:v>
                </c:pt>
                <c:pt idx="12">
                  <c:v>3.2430273235983964E-2</c:v>
                </c:pt>
                <c:pt idx="13">
                  <c:v>9.2914288455960489E-3</c:v>
                </c:pt>
                <c:pt idx="14">
                  <c:v>1.6146082307884426E-3</c:v>
                </c:pt>
                <c:pt idx="15">
                  <c:v>1.7017845549630557E-4</c:v>
                </c:pt>
              </c:numCache>
            </c:numRef>
          </c:val>
          <c:smooth val="1"/>
        </c:ser>
        <c:ser>
          <c:idx val="4"/>
          <c:order val="4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'6章'!$G$74:$G$94</c:f>
              <c:numCache>
                <c:formatCode>0.0000_ </c:formatCode>
                <c:ptCount val="21"/>
                <c:pt idx="7">
                  <c:v>1.2763384162222923E-4</c:v>
                </c:pt>
                <c:pt idx="8">
                  <c:v>1.2109561730913323E-3</c:v>
                </c:pt>
                <c:pt idx="9">
                  <c:v>6.9685716341970384E-3</c:v>
                </c:pt>
                <c:pt idx="10">
                  <c:v>2.4322704926987977E-2</c:v>
                </c:pt>
                <c:pt idx="11">
                  <c:v>5.1491166734498724E-2</c:v>
                </c:pt>
                <c:pt idx="12">
                  <c:v>6.61159668220027E-2</c:v>
                </c:pt>
                <c:pt idx="13">
                  <c:v>5.1491166734498724E-2</c:v>
                </c:pt>
                <c:pt idx="14">
                  <c:v>2.4322704926987977E-2</c:v>
                </c:pt>
                <c:pt idx="15">
                  <c:v>6.9685716341970384E-3</c:v>
                </c:pt>
                <c:pt idx="16">
                  <c:v>1.2109561730913323E-3</c:v>
                </c:pt>
                <c:pt idx="17">
                  <c:v>1.2763384162222923E-4</c:v>
                </c:pt>
              </c:numCache>
            </c:numRef>
          </c:val>
          <c:smooth val="1"/>
        </c:ser>
        <c:ser>
          <c:idx val="5"/>
          <c:order val="5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'6章'!$H$74:$H$94</c:f>
              <c:numCache>
                <c:formatCode>0.0000_ </c:formatCode>
                <c:ptCount val="21"/>
                <c:pt idx="10">
                  <c:v>4.8438246923653287E-4</c:v>
                </c:pt>
                <c:pt idx="11">
                  <c:v>2.7874286536788149E-3</c:v>
                </c:pt>
                <c:pt idx="12">
                  <c:v>9.7290819707951896E-3</c:v>
                </c:pt>
                <c:pt idx="13">
                  <c:v>2.0596466693799487E-2</c:v>
                </c:pt>
                <c:pt idx="14">
                  <c:v>2.6446386728801077E-2</c:v>
                </c:pt>
                <c:pt idx="15">
                  <c:v>2.0596466693799487E-2</c:v>
                </c:pt>
                <c:pt idx="16">
                  <c:v>9.7290819707951896E-3</c:v>
                </c:pt>
                <c:pt idx="17">
                  <c:v>2.7874286536788149E-3</c:v>
                </c:pt>
                <c:pt idx="18">
                  <c:v>4.8438246923653287E-4</c:v>
                </c:pt>
              </c:numCache>
            </c:numRef>
          </c:val>
          <c:smooth val="1"/>
        </c:ser>
        <c:ser>
          <c:idx val="6"/>
          <c:order val="6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'6章'!$I$74:$I$94</c:f>
              <c:numCache>
                <c:formatCode>0.0000_ </c:formatCode>
                <c:ptCount val="21"/>
                <c:pt idx="13">
                  <c:v>4.6457144227980273E-4</c:v>
                </c:pt>
                <c:pt idx="14">
                  <c:v>1.621513661799199E-3</c:v>
                </c:pt>
                <c:pt idx="15">
                  <c:v>3.4327444489665828E-3</c:v>
                </c:pt>
                <c:pt idx="16">
                  <c:v>4.4077311214668477E-3</c:v>
                </c:pt>
                <c:pt idx="17">
                  <c:v>3.4327444489665828E-3</c:v>
                </c:pt>
                <c:pt idx="18">
                  <c:v>1.621513661799199E-3</c:v>
                </c:pt>
                <c:pt idx="19">
                  <c:v>4.6457144227980273E-4</c:v>
                </c:pt>
              </c:numCache>
            </c:numRef>
          </c:val>
          <c:smooth val="0"/>
        </c:ser>
        <c:ser>
          <c:idx val="7"/>
          <c:order val="7"/>
          <c:marker>
            <c:symbol val="none"/>
          </c:marker>
          <c:cat>
            <c:numRef>
              <c:f>'6章'!$B$74:$B$94</c:f>
              <c:numCache>
                <c:formatCode>General</c:formatCode>
                <c:ptCount val="2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</c:numCache>
            </c:numRef>
          </c:cat>
          <c:val>
            <c:numRef>
              <c:f>'6章'!$J$74:$J$94</c:f>
              <c:numCache>
                <c:formatCode>0.0000_ </c:formatCode>
                <c:ptCount val="21"/>
                <c:pt idx="1">
                  <c:v>4.6457144227980273E-4</c:v>
                </c:pt>
                <c:pt idx="2">
                  <c:v>2.1058961310357321E-3</c:v>
                </c:pt>
                <c:pt idx="3">
                  <c:v>6.3478069442676277E-3</c:v>
                </c:pt>
                <c:pt idx="4">
                  <c:v>1.5347769265353368E-2</c:v>
                </c:pt>
                <c:pt idx="5">
                  <c:v>3.1167961232459414E-2</c:v>
                </c:pt>
                <c:pt idx="6">
                  <c:v>5.4005213548376695E-2</c:v>
                </c:pt>
                <c:pt idx="7">
                  <c:v>8.1971267557796296E-2</c:v>
                </c:pt>
                <c:pt idx="8">
                  <c:v>0.10948627820187319</c:v>
                </c:pt>
                <c:pt idx="9">
                  <c:v>0.12990205600170618</c:v>
                </c:pt>
                <c:pt idx="10">
                  <c:v>0.13776879722178595</c:v>
                </c:pt>
                <c:pt idx="11">
                  <c:v>0.12990205600170618</c:v>
                </c:pt>
                <c:pt idx="12">
                  <c:v>0.10948627820187319</c:v>
                </c:pt>
                <c:pt idx="13">
                  <c:v>8.1971267557796296E-2</c:v>
                </c:pt>
                <c:pt idx="14">
                  <c:v>5.4005213548376695E-2</c:v>
                </c:pt>
                <c:pt idx="15">
                  <c:v>3.1167961232459417E-2</c:v>
                </c:pt>
                <c:pt idx="16">
                  <c:v>1.5347769265353368E-2</c:v>
                </c:pt>
                <c:pt idx="17">
                  <c:v>6.3478069442676269E-3</c:v>
                </c:pt>
                <c:pt idx="18">
                  <c:v>2.1058961310357321E-3</c:v>
                </c:pt>
                <c:pt idx="19">
                  <c:v>4.6457144227980273E-4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85536"/>
        <c:axId val="206387456"/>
      </c:lineChart>
      <c:catAx>
        <c:axId val="206385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表型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6387456"/>
        <c:crosses val="autoZero"/>
        <c:auto val="1"/>
        <c:lblAlgn val="ctr"/>
        <c:lblOffset val="100"/>
        <c:noMultiLvlLbl val="0"/>
      </c:catAx>
      <c:valAx>
        <c:axId val="2063874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概率密度</a:t>
                </a:r>
              </a:p>
            </c:rich>
          </c:tx>
          <c:overlay val="0"/>
        </c:title>
        <c:numFmt formatCode="0.00_ " sourceLinked="0"/>
        <c:majorTickMark val="out"/>
        <c:minorTickMark val="none"/>
        <c:tickLblPos val="nextTo"/>
        <c:crossAx val="2063855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208749718350171"/>
          <c:y val="6.4250692621755617E-2"/>
          <c:w val="0.77577019809878756"/>
          <c:h val="0.73869112715077279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'6章'!$B$134:$B$141</c:f>
              <c:numCache>
                <c:formatCode>General</c:formatCode>
                <c:ptCount val="8"/>
                <c:pt idx="0">
                  <c:v>46</c:v>
                </c:pt>
                <c:pt idx="1">
                  <c:v>50</c:v>
                </c:pt>
                <c:pt idx="2">
                  <c:v>60</c:v>
                </c:pt>
                <c:pt idx="3">
                  <c:v>72</c:v>
                </c:pt>
                <c:pt idx="4">
                  <c:v>77</c:v>
                </c:pt>
                <c:pt idx="5">
                  <c:v>80</c:v>
                </c:pt>
                <c:pt idx="6">
                  <c:v>81</c:v>
                </c:pt>
                <c:pt idx="7">
                  <c:v>82</c:v>
                </c:pt>
              </c:numCache>
            </c:numRef>
          </c:xVal>
          <c:yVal>
            <c:numRef>
              <c:f>'6章'!$C$134:$C$141</c:f>
              <c:numCache>
                <c:formatCode>General</c:formatCode>
                <c:ptCount val="8"/>
                <c:pt idx="0">
                  <c:v>53.5</c:v>
                </c:pt>
                <c:pt idx="1">
                  <c:v>50.2</c:v>
                </c:pt>
                <c:pt idx="2">
                  <c:v>56.3</c:v>
                </c:pt>
                <c:pt idx="3">
                  <c:v>70.099999999999994</c:v>
                </c:pt>
                <c:pt idx="4">
                  <c:v>73</c:v>
                </c:pt>
                <c:pt idx="5">
                  <c:v>74</c:v>
                </c:pt>
                <c:pt idx="6">
                  <c:v>76.3</c:v>
                </c:pt>
                <c:pt idx="7">
                  <c:v>80.2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068928"/>
        <c:axId val="205112064"/>
      </c:scatterChart>
      <c:valAx>
        <c:axId val="205068928"/>
        <c:scaling>
          <c:orientation val="minMax"/>
          <c:max val="85"/>
          <c:min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F</a:t>
                </a:r>
                <a:r>
                  <a:rPr lang="en-US" altLang="en-US" baseline="-25000"/>
                  <a:t>3</a:t>
                </a:r>
                <a:r>
                  <a:rPr lang="zh-CN" altLang="en-US"/>
                  <a:t>亲代个体表型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5112064"/>
        <c:crosses val="autoZero"/>
        <c:crossBetween val="midCat"/>
        <c:majorUnit val="5"/>
      </c:valAx>
      <c:valAx>
        <c:axId val="205112064"/>
        <c:scaling>
          <c:orientation val="minMax"/>
          <c:max val="85"/>
          <c:min val="5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自交后代表型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5068928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zh-CN" altLang="en-US" sz="1200"/>
              <a:t>剩余方差等于</a:t>
            </a:r>
            <a:r>
              <a:rPr lang="en-US" altLang="zh-CN" sz="1200"/>
              <a:t>5</a:t>
            </a:r>
            <a:endParaRPr lang="zh-CN" altLang="en-US" sz="1200"/>
          </a:p>
        </c:rich>
      </c:tx>
      <c:layout>
        <c:manualLayout>
          <c:xMode val="edge"/>
          <c:yMode val="edge"/>
          <c:x val="0.25014698162729659"/>
          <c:y val="6.313131313131313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0769028871391076"/>
          <c:y val="7.0358172908994737E-2"/>
          <c:w val="0.74927350427350425"/>
          <c:h val="0.68607392825896762"/>
        </c:manualLayout>
      </c:layout>
      <c:lineChart>
        <c:grouping val="standard"/>
        <c:varyColors val="0"/>
        <c:ser>
          <c:idx val="0"/>
          <c:order val="0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'7章'!$B$104:$B$134</c:f>
              <c:numCache>
                <c:formatCode>General</c:formatCode>
                <c:ptCount val="31"/>
                <c:pt idx="12">
                  <c:v>7.4110610035966397E-5</c:v>
                </c:pt>
                <c:pt idx="13">
                  <c:v>3.3214071099427683E-4</c:v>
                </c:pt>
                <c:pt idx="14">
                  <c:v>1.2187228040319868E-3</c:v>
                </c:pt>
                <c:pt idx="15">
                  <c:v>3.66124564048162E-3</c:v>
                </c:pt>
                <c:pt idx="16">
                  <c:v>9.0052111680384173E-3</c:v>
                </c:pt>
                <c:pt idx="17">
                  <c:v>1.8134268370980731E-2</c:v>
                </c:pt>
                <c:pt idx="18">
                  <c:v>2.9898353991820493E-2</c:v>
                </c:pt>
                <c:pt idx="19">
                  <c:v>4.0358556467884055E-2</c:v>
                </c:pt>
                <c:pt idx="20">
                  <c:v>4.4603102903819282E-2</c:v>
                </c:pt>
                <c:pt idx="21">
                  <c:v>4.0358556467884055E-2</c:v>
                </c:pt>
                <c:pt idx="22">
                  <c:v>2.9898353991820493E-2</c:v>
                </c:pt>
                <c:pt idx="23">
                  <c:v>1.8134268370980731E-2</c:v>
                </c:pt>
                <c:pt idx="24">
                  <c:v>9.0052111680384173E-3</c:v>
                </c:pt>
                <c:pt idx="25">
                  <c:v>3.66124564048162E-3</c:v>
                </c:pt>
                <c:pt idx="26">
                  <c:v>1.2187228040319868E-3</c:v>
                </c:pt>
                <c:pt idx="27">
                  <c:v>3.3214071099427683E-4</c:v>
                </c:pt>
                <c:pt idx="28">
                  <c:v>7.4110610035966397E-5</c:v>
                </c:pt>
              </c:numCache>
            </c:numRef>
          </c:val>
          <c:smooth val="1"/>
        </c:ser>
        <c:ser>
          <c:idx val="1"/>
          <c:order val="1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'7章'!$C$104:$C$134</c:f>
              <c:numCache>
                <c:formatCode>General</c:formatCode>
                <c:ptCount val="31"/>
                <c:pt idx="9">
                  <c:v>6.4955725261369099E-5</c:v>
                </c:pt>
                <c:pt idx="10">
                  <c:v>3.2172781336966188E-4</c:v>
                </c:pt>
                <c:pt idx="11">
                  <c:v>1.3046706181096617E-3</c:v>
                </c:pt>
                <c:pt idx="12">
                  <c:v>4.3316589977830406E-3</c:v>
                </c:pt>
                <c:pt idx="13">
                  <c:v>1.1774669940754753E-2</c:v>
                </c:pt>
                <c:pt idx="14">
                  <c:v>2.6205009872639677E-2</c:v>
                </c:pt>
                <c:pt idx="15">
                  <c:v>4.7748641153355656E-2</c:v>
                </c:pt>
                <c:pt idx="16">
                  <c:v>7.1232602151386326E-2</c:v>
                </c:pt>
                <c:pt idx="17">
                  <c:v>8.7003696738629302E-2</c:v>
                </c:pt>
                <c:pt idx="18">
                  <c:v>8.7003696738629302E-2</c:v>
                </c:pt>
                <c:pt idx="19">
                  <c:v>7.1232602151386326E-2</c:v>
                </c:pt>
                <c:pt idx="20">
                  <c:v>4.7748641153355656E-2</c:v>
                </c:pt>
                <c:pt idx="21">
                  <c:v>2.6205009872639677E-2</c:v>
                </c:pt>
                <c:pt idx="22">
                  <c:v>1.1774669940754753E-2</c:v>
                </c:pt>
                <c:pt idx="23">
                  <c:v>4.3316589977830406E-3</c:v>
                </c:pt>
                <c:pt idx="24">
                  <c:v>1.3046706181096617E-3</c:v>
                </c:pt>
                <c:pt idx="25">
                  <c:v>3.2172781336966188E-4</c:v>
                </c:pt>
                <c:pt idx="26">
                  <c:v>6.4955725261369099E-5</c:v>
                </c:pt>
              </c:numCache>
            </c:numRef>
          </c:val>
          <c:smooth val="1"/>
        </c:ser>
        <c:ser>
          <c:idx val="2"/>
          <c:order val="2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'7章'!$D$104:$D$134</c:f>
              <c:numCache>
                <c:formatCode>General</c:formatCode>
                <c:ptCount val="31"/>
                <c:pt idx="2">
                  <c:v>0</c:v>
                </c:pt>
                <c:pt idx="3">
                  <c:v>3.3214071099427683E-4</c:v>
                </c:pt>
                <c:pt idx="4">
                  <c:v>1.2187228040319868E-3</c:v>
                </c:pt>
                <c:pt idx="5">
                  <c:v>3.66124564048162E-3</c:v>
                </c:pt>
                <c:pt idx="6">
                  <c:v>9.0052111680384173E-3</c:v>
                </c:pt>
                <c:pt idx="7">
                  <c:v>1.8134268370980731E-2</c:v>
                </c:pt>
                <c:pt idx="8">
                  <c:v>2.9898353991820493E-2</c:v>
                </c:pt>
                <c:pt idx="9">
                  <c:v>4.0358556467884055E-2</c:v>
                </c:pt>
                <c:pt idx="10">
                  <c:v>4.4603102903819282E-2</c:v>
                </c:pt>
                <c:pt idx="11">
                  <c:v>4.0358556467884055E-2</c:v>
                </c:pt>
                <c:pt idx="12">
                  <c:v>2.9898353991820493E-2</c:v>
                </c:pt>
                <c:pt idx="13">
                  <c:v>1.8134268370980731E-2</c:v>
                </c:pt>
                <c:pt idx="14">
                  <c:v>9.0052111680384173E-3</c:v>
                </c:pt>
                <c:pt idx="15">
                  <c:v>3.66124564048162E-3</c:v>
                </c:pt>
                <c:pt idx="16">
                  <c:v>1.2187228040319868E-3</c:v>
                </c:pt>
                <c:pt idx="17">
                  <c:v>3.3214071099427683E-4</c:v>
                </c:pt>
                <c:pt idx="18">
                  <c:v>7.4110610035966397E-5</c:v>
                </c:pt>
              </c:numCache>
            </c:numRef>
          </c:val>
          <c:smooth val="1"/>
        </c:ser>
        <c:ser>
          <c:idx val="3"/>
          <c:order val="3"/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'7章'!$E$104:$E$134</c:f>
              <c:numCache>
                <c:formatCode>General</c:formatCode>
                <c:ptCount val="31"/>
                <c:pt idx="2">
                  <c:v>0</c:v>
                </c:pt>
                <c:pt idx="3">
                  <c:v>3.3214071099427683E-4</c:v>
                </c:pt>
                <c:pt idx="4">
                  <c:v>1.2187228040319868E-3</c:v>
                </c:pt>
                <c:pt idx="5">
                  <c:v>3.66124564048162E-3</c:v>
                </c:pt>
                <c:pt idx="6">
                  <c:v>9.0052111680384173E-3</c:v>
                </c:pt>
                <c:pt idx="7">
                  <c:v>1.8134268370980731E-2</c:v>
                </c:pt>
                <c:pt idx="8">
                  <c:v>2.9898353991820493E-2</c:v>
                </c:pt>
                <c:pt idx="9">
                  <c:v>4.0423512193145425E-2</c:v>
                </c:pt>
                <c:pt idx="10">
                  <c:v>4.4924830717188946E-2</c:v>
                </c:pt>
                <c:pt idx="11">
                  <c:v>4.1663227085993716E-2</c:v>
                </c:pt>
                <c:pt idx="12">
                  <c:v>3.4304123599639497E-2</c:v>
                </c:pt>
                <c:pt idx="13">
                  <c:v>3.024107902272976E-2</c:v>
                </c:pt>
                <c:pt idx="14">
                  <c:v>3.6428943844710078E-2</c:v>
                </c:pt>
                <c:pt idx="15">
                  <c:v>5.5071132434318895E-2</c:v>
                </c:pt>
                <c:pt idx="16">
                  <c:v>8.1456536123456727E-2</c:v>
                </c:pt>
                <c:pt idx="17">
                  <c:v>0.1054701058206043</c:v>
                </c:pt>
                <c:pt idx="18">
                  <c:v>0.11697616134048576</c:v>
                </c:pt>
                <c:pt idx="19">
                  <c:v>0.11159115861927038</c:v>
                </c:pt>
                <c:pt idx="20">
                  <c:v>9.2351744057174945E-2</c:v>
                </c:pt>
                <c:pt idx="21">
                  <c:v>6.6563566340523739E-2</c:v>
                </c:pt>
                <c:pt idx="22">
                  <c:v>4.1673023932575243E-2</c:v>
                </c:pt>
                <c:pt idx="23">
                  <c:v>2.2465927368763773E-2</c:v>
                </c:pt>
                <c:pt idx="24">
                  <c:v>1.0309881786148079E-2</c:v>
                </c:pt>
                <c:pt idx="25">
                  <c:v>3.982973453851282E-3</c:v>
                </c:pt>
                <c:pt idx="26">
                  <c:v>1.283678529293356E-3</c:v>
                </c:pt>
                <c:pt idx="27">
                  <c:v>3.3214071099427683E-4</c:v>
                </c:pt>
                <c:pt idx="28">
                  <c:v>7.4110610035966397E-5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880128"/>
        <c:axId val="204882304"/>
      </c:lineChart>
      <c:catAx>
        <c:axId val="204880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F</a:t>
                </a:r>
                <a:r>
                  <a:rPr lang="en-US" altLang="en-US" baseline="-25000"/>
                  <a:t>2</a:t>
                </a:r>
                <a:r>
                  <a:rPr lang="zh-CN" altLang="en-US"/>
                  <a:t>群体的表型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882304"/>
        <c:crosses val="autoZero"/>
        <c:auto val="1"/>
        <c:lblAlgn val="ctr"/>
        <c:lblOffset val="100"/>
        <c:noMultiLvlLbl val="0"/>
      </c:catAx>
      <c:valAx>
        <c:axId val="204882304"/>
        <c:scaling>
          <c:orientation val="minMax"/>
          <c:max val="0.1400000000000000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概率密度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880128"/>
        <c:crosses val="autoZero"/>
        <c:crossBetween val="between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zh-CN" altLang="en-US" sz="1200"/>
              <a:t>剩余方差等于</a:t>
            </a:r>
            <a:r>
              <a:rPr lang="en-US" altLang="zh-CN" sz="1200"/>
              <a:t>10</a:t>
            </a:r>
            <a:endParaRPr lang="zh-CN" altLang="en-US" sz="1200"/>
          </a:p>
        </c:rich>
      </c:tx>
      <c:layout>
        <c:manualLayout>
          <c:xMode val="edge"/>
          <c:yMode val="edge"/>
          <c:x val="0.25014698162729659"/>
          <c:y val="6.313131313131313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0769028871391076"/>
          <c:y val="7.0358172908994737E-2"/>
          <c:w val="0.74927350427350425"/>
          <c:h val="0.68607392825896762"/>
        </c:manualLayout>
      </c:layout>
      <c:lineChart>
        <c:grouping val="standard"/>
        <c:varyColors val="0"/>
        <c:ser>
          <c:idx val="0"/>
          <c:order val="0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'7章'!$F$104:$F$134</c:f>
              <c:numCache>
                <c:formatCode>General</c:formatCode>
                <c:ptCount val="31"/>
                <c:pt idx="9">
                  <c:v>7.4364978887640252E-5</c:v>
                </c:pt>
                <c:pt idx="10">
                  <c:v>2.1250916506300872E-4</c:v>
                </c:pt>
                <c:pt idx="11">
                  <c:v>5.4948700079656733E-4</c:v>
                </c:pt>
                <c:pt idx="12">
                  <c:v>1.2856055315879418E-3</c:v>
                </c:pt>
                <c:pt idx="13">
                  <c:v>2.7216269317290186E-3</c:v>
                </c:pt>
                <c:pt idx="14">
                  <c:v>5.2133875090707533E-3</c:v>
                </c:pt>
                <c:pt idx="15">
                  <c:v>9.0361196334090652E-3</c:v>
                </c:pt>
                <c:pt idx="16">
                  <c:v>1.417145653062239E-2</c:v>
                </c:pt>
                <c:pt idx="17">
                  <c:v>2.0110254078906226E-2</c:v>
                </c:pt>
                <c:pt idx="18">
                  <c:v>2.5822077373363915E-2</c:v>
                </c:pt>
                <c:pt idx="19">
                  <c:v>3.0000973710753401E-2</c:v>
                </c:pt>
                <c:pt idx="20">
                  <c:v>3.1539156525252E-2</c:v>
                </c:pt>
                <c:pt idx="21">
                  <c:v>3.0000973710753401E-2</c:v>
                </c:pt>
                <c:pt idx="22">
                  <c:v>2.5822077373363915E-2</c:v>
                </c:pt>
                <c:pt idx="23">
                  <c:v>2.0110254078906226E-2</c:v>
                </c:pt>
                <c:pt idx="24">
                  <c:v>1.417145653062239E-2</c:v>
                </c:pt>
                <c:pt idx="25">
                  <c:v>9.0361196334090652E-3</c:v>
                </c:pt>
                <c:pt idx="26">
                  <c:v>5.2133875090707533E-3</c:v>
                </c:pt>
                <c:pt idx="27">
                  <c:v>2.7216269317290186E-3</c:v>
                </c:pt>
                <c:pt idx="28">
                  <c:v>1.2856055315879418E-3</c:v>
                </c:pt>
                <c:pt idx="29">
                  <c:v>5.4948700079656733E-4</c:v>
                </c:pt>
                <c:pt idx="30">
                  <c:v>2.1250916506300872E-4</c:v>
                </c:pt>
              </c:numCache>
            </c:numRef>
          </c:val>
          <c:smooth val="1"/>
        </c:ser>
        <c:ser>
          <c:idx val="1"/>
          <c:order val="1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'7章'!$G$104:$G$134</c:f>
              <c:numCache>
                <c:formatCode>General</c:formatCode>
                <c:ptCount val="31"/>
                <c:pt idx="6">
                  <c:v>8.4743775463310181E-5</c:v>
                </c:pt>
                <c:pt idx="7">
                  <c:v>2.5458437098782192E-4</c:v>
                </c:pt>
                <c:pt idx="8">
                  <c:v>6.9203206946587248E-4</c:v>
                </c:pt>
                <c:pt idx="9">
                  <c:v>1.7021242310786427E-3</c:v>
                </c:pt>
                <c:pt idx="10">
                  <c:v>3.788147141644287E-3</c:v>
                </c:pt>
                <c:pt idx="11">
                  <c:v>7.6283915627827301E-3</c:v>
                </c:pt>
                <c:pt idx="12">
                  <c:v>1.3899835683286751E-2</c:v>
                </c:pt>
                <c:pt idx="13">
                  <c:v>2.2916954750271515E-2</c:v>
                </c:pt>
                <c:pt idx="14">
                  <c:v>3.4188079091182468E-2</c:v>
                </c:pt>
                <c:pt idx="15">
                  <c:v>4.6149079675337649E-2</c:v>
                </c:pt>
                <c:pt idx="16">
                  <c:v>5.6366613202010835E-2</c:v>
                </c:pt>
                <c:pt idx="17">
                  <c:v>6.2294741661281239E-2</c:v>
                </c:pt>
                <c:pt idx="18">
                  <c:v>6.2294741661281239E-2</c:v>
                </c:pt>
                <c:pt idx="19">
                  <c:v>5.6366613202010835E-2</c:v>
                </c:pt>
                <c:pt idx="20">
                  <c:v>4.6149079675337649E-2</c:v>
                </c:pt>
                <c:pt idx="21">
                  <c:v>3.4188079091182468E-2</c:v>
                </c:pt>
                <c:pt idx="22">
                  <c:v>2.2916954750271515E-2</c:v>
                </c:pt>
                <c:pt idx="23">
                  <c:v>1.3899835683286751E-2</c:v>
                </c:pt>
                <c:pt idx="24">
                  <c:v>7.6283915627827301E-3</c:v>
                </c:pt>
                <c:pt idx="25">
                  <c:v>3.788147141644287E-3</c:v>
                </c:pt>
                <c:pt idx="26">
                  <c:v>1.7021242310786427E-3</c:v>
                </c:pt>
                <c:pt idx="27">
                  <c:v>6.9203206946587248E-4</c:v>
                </c:pt>
                <c:pt idx="28">
                  <c:v>2.5458437098782192E-4</c:v>
                </c:pt>
                <c:pt idx="29">
                  <c:v>8.4743775463310181E-5</c:v>
                </c:pt>
              </c:numCache>
            </c:numRef>
          </c:val>
          <c:smooth val="1"/>
        </c:ser>
        <c:ser>
          <c:idx val="2"/>
          <c:order val="2"/>
          <c:spPr>
            <a:ln>
              <a:prstDash val="sysDash"/>
            </a:ln>
          </c:spPr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'7章'!$H$104:$H$134</c:f>
              <c:numCache>
                <c:formatCode>General</c:formatCode>
                <c:ptCount val="31"/>
                <c:pt idx="0">
                  <c:v>2.1250916506300872E-4</c:v>
                </c:pt>
                <c:pt idx="1">
                  <c:v>5.4948700079656733E-4</c:v>
                </c:pt>
                <c:pt idx="2">
                  <c:v>1.2856055315879418E-3</c:v>
                </c:pt>
                <c:pt idx="3">
                  <c:v>2.7216269317290186E-3</c:v>
                </c:pt>
                <c:pt idx="4">
                  <c:v>5.2133875090707533E-3</c:v>
                </c:pt>
                <c:pt idx="5">
                  <c:v>9.0361196334090652E-3</c:v>
                </c:pt>
                <c:pt idx="6">
                  <c:v>1.417145653062239E-2</c:v>
                </c:pt>
                <c:pt idx="7">
                  <c:v>2.0110254078906226E-2</c:v>
                </c:pt>
                <c:pt idx="8">
                  <c:v>2.5822077373363915E-2</c:v>
                </c:pt>
                <c:pt idx="9">
                  <c:v>3.0000973710753401E-2</c:v>
                </c:pt>
                <c:pt idx="10">
                  <c:v>3.1539156525252E-2</c:v>
                </c:pt>
                <c:pt idx="11">
                  <c:v>3.0000973710753401E-2</c:v>
                </c:pt>
                <c:pt idx="12">
                  <c:v>2.5822077373363915E-2</c:v>
                </c:pt>
                <c:pt idx="13">
                  <c:v>2.0110254078906226E-2</c:v>
                </c:pt>
                <c:pt idx="14">
                  <c:v>1.417145653062239E-2</c:v>
                </c:pt>
                <c:pt idx="15">
                  <c:v>9.0361196334090652E-3</c:v>
                </c:pt>
                <c:pt idx="16">
                  <c:v>5.2133875090707533E-3</c:v>
                </c:pt>
                <c:pt idx="17">
                  <c:v>2.7216269317290186E-3</c:v>
                </c:pt>
                <c:pt idx="18">
                  <c:v>1.2856055315879418E-3</c:v>
                </c:pt>
                <c:pt idx="19">
                  <c:v>5.4948700079656733E-4</c:v>
                </c:pt>
                <c:pt idx="20">
                  <c:v>2.1250916506300872E-4</c:v>
                </c:pt>
                <c:pt idx="21">
                  <c:v>7.4364978887640252E-5</c:v>
                </c:pt>
              </c:numCache>
            </c:numRef>
          </c:val>
          <c:smooth val="1"/>
        </c:ser>
        <c:ser>
          <c:idx val="3"/>
          <c:order val="3"/>
          <c:marker>
            <c:symbol val="none"/>
          </c:marker>
          <c:cat>
            <c:numRef>
              <c:f>'7章'!$A$104:$A$134</c:f>
              <c:numCache>
                <c:formatCode>General</c:formatCode>
                <c:ptCount val="3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</c:numCache>
            </c:numRef>
          </c:cat>
          <c:val>
            <c:numRef>
              <c:f>'7章'!$I$104:$I$134</c:f>
              <c:numCache>
                <c:formatCode>General</c:formatCode>
                <c:ptCount val="31"/>
                <c:pt idx="0">
                  <c:v>2.1250916506300872E-4</c:v>
                </c:pt>
                <c:pt idx="1">
                  <c:v>5.4948700079656733E-4</c:v>
                </c:pt>
                <c:pt idx="2">
                  <c:v>1.2856055315879418E-3</c:v>
                </c:pt>
                <c:pt idx="3">
                  <c:v>2.7216269317290186E-3</c:v>
                </c:pt>
                <c:pt idx="4">
                  <c:v>5.2133875090707533E-3</c:v>
                </c:pt>
                <c:pt idx="5">
                  <c:v>9.0361196334090652E-3</c:v>
                </c:pt>
                <c:pt idx="6">
                  <c:v>1.42562003060857E-2</c:v>
                </c:pt>
                <c:pt idx="7">
                  <c:v>2.0364838449894049E-2</c:v>
                </c:pt>
                <c:pt idx="8">
                  <c:v>2.6514109442829788E-2</c:v>
                </c:pt>
                <c:pt idx="9">
                  <c:v>3.177746292071968E-2</c:v>
                </c:pt>
                <c:pt idx="10">
                  <c:v>3.5539812831959297E-2</c:v>
                </c:pt>
                <c:pt idx="11">
                  <c:v>3.8178852274332695E-2</c:v>
                </c:pt>
                <c:pt idx="12">
                  <c:v>4.100751858823861E-2</c:v>
                </c:pt>
                <c:pt idx="13">
                  <c:v>4.5748835760906756E-2</c:v>
                </c:pt>
                <c:pt idx="14">
                  <c:v>5.357292313087561E-2</c:v>
                </c:pt>
                <c:pt idx="15">
                  <c:v>6.4221318942155783E-2</c:v>
                </c:pt>
                <c:pt idx="16">
                  <c:v>7.5751457241703984E-2</c:v>
                </c:pt>
                <c:pt idx="17">
                  <c:v>8.512662267191648E-2</c:v>
                </c:pt>
                <c:pt idx="18">
                  <c:v>8.9402424566233096E-2</c:v>
                </c:pt>
                <c:pt idx="19">
                  <c:v>8.6917073913560808E-2</c:v>
                </c:pt>
                <c:pt idx="20">
                  <c:v>7.7900745365652654E-2</c:v>
                </c:pt>
                <c:pt idx="21">
                  <c:v>6.426341778082352E-2</c:v>
                </c:pt>
                <c:pt idx="22">
                  <c:v>4.873903212363543E-2</c:v>
                </c:pt>
                <c:pt idx="23">
                  <c:v>3.4010089762192976E-2</c:v>
                </c:pt>
                <c:pt idx="24">
                  <c:v>2.1799848093405121E-2</c:v>
                </c:pt>
                <c:pt idx="25">
                  <c:v>1.2824266775053352E-2</c:v>
                </c:pt>
                <c:pt idx="26">
                  <c:v>6.9155117401493958E-3</c:v>
                </c:pt>
                <c:pt idx="27">
                  <c:v>3.4136590011948909E-3</c:v>
                </c:pt>
                <c:pt idx="28">
                  <c:v>1.5401899025757637E-3</c:v>
                </c:pt>
                <c:pt idx="29">
                  <c:v>6.3423077625987751E-4</c:v>
                </c:pt>
                <c:pt idx="30">
                  <c:v>2.1250916506300872E-4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909184"/>
        <c:axId val="204919552"/>
      </c:lineChart>
      <c:catAx>
        <c:axId val="204909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F</a:t>
                </a:r>
                <a:r>
                  <a:rPr lang="en-US" altLang="en-US" baseline="-25000"/>
                  <a:t>2</a:t>
                </a:r>
                <a:r>
                  <a:rPr lang="zh-CN" altLang="en-US"/>
                  <a:t>群体的表型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919552"/>
        <c:crosses val="autoZero"/>
        <c:auto val="1"/>
        <c:lblAlgn val="ctr"/>
        <c:lblOffset val="100"/>
        <c:noMultiLvlLbl val="0"/>
      </c:catAx>
      <c:valAx>
        <c:axId val="204919552"/>
        <c:scaling>
          <c:orientation val="minMax"/>
          <c:max val="0.1400000000000000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概率密度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4909184"/>
        <c:crosses val="autoZero"/>
        <c:crossBetween val="between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40190425987548"/>
          <c:y val="5.1400554097404488E-2"/>
          <c:w val="0.79297982626648655"/>
          <c:h val="0.7765970430166817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'12章'!$L$122:$L$170</c:f>
              <c:numCache>
                <c:formatCode>0.00_ </c:formatCode>
                <c:ptCount val="49"/>
                <c:pt idx="0">
                  <c:v>23.5</c:v>
                </c:pt>
                <c:pt idx="1">
                  <c:v>15.95</c:v>
                </c:pt>
                <c:pt idx="2">
                  <c:v>31.1</c:v>
                </c:pt>
                <c:pt idx="3">
                  <c:v>17</c:v>
                </c:pt>
                <c:pt idx="4">
                  <c:v>16.7</c:v>
                </c:pt>
                <c:pt idx="5">
                  <c:v>21.799999999999997</c:v>
                </c:pt>
                <c:pt idx="6">
                  <c:v>15.3</c:v>
                </c:pt>
                <c:pt idx="7">
                  <c:v>15.3</c:v>
                </c:pt>
                <c:pt idx="8">
                  <c:v>18</c:v>
                </c:pt>
                <c:pt idx="9">
                  <c:v>22</c:v>
                </c:pt>
                <c:pt idx="10">
                  <c:v>12.2</c:v>
                </c:pt>
                <c:pt idx="11">
                  <c:v>12.899999999999999</c:v>
                </c:pt>
                <c:pt idx="12">
                  <c:v>14.1</c:v>
                </c:pt>
                <c:pt idx="13">
                  <c:v>10.7</c:v>
                </c:pt>
                <c:pt idx="14">
                  <c:v>29</c:v>
                </c:pt>
                <c:pt idx="15">
                  <c:v>14.7</c:v>
                </c:pt>
                <c:pt idx="16">
                  <c:v>23</c:v>
                </c:pt>
                <c:pt idx="17">
                  <c:v>16.55</c:v>
                </c:pt>
                <c:pt idx="18">
                  <c:v>15.3</c:v>
                </c:pt>
                <c:pt idx="19">
                  <c:v>16.700000000000003</c:v>
                </c:pt>
                <c:pt idx="20">
                  <c:v>14.899999999999999</c:v>
                </c:pt>
                <c:pt idx="21">
                  <c:v>22.1</c:v>
                </c:pt>
                <c:pt idx="22">
                  <c:v>18.600000000000001</c:v>
                </c:pt>
                <c:pt idx="23">
                  <c:v>25</c:v>
                </c:pt>
                <c:pt idx="24">
                  <c:v>18.2</c:v>
                </c:pt>
                <c:pt idx="25">
                  <c:v>14.5</c:v>
                </c:pt>
                <c:pt idx="26">
                  <c:v>19.600000000000001</c:v>
                </c:pt>
                <c:pt idx="27">
                  <c:v>14.100000000000001</c:v>
                </c:pt>
                <c:pt idx="28">
                  <c:v>19.25</c:v>
                </c:pt>
                <c:pt idx="29">
                  <c:v>15.25</c:v>
                </c:pt>
                <c:pt idx="30">
                  <c:v>19.600000000000001</c:v>
                </c:pt>
                <c:pt idx="31">
                  <c:v>13.3</c:v>
                </c:pt>
                <c:pt idx="32">
                  <c:v>15.2</c:v>
                </c:pt>
                <c:pt idx="33">
                  <c:v>15.8</c:v>
                </c:pt>
                <c:pt idx="34">
                  <c:v>15.6</c:v>
                </c:pt>
                <c:pt idx="35">
                  <c:v>16.5</c:v>
                </c:pt>
                <c:pt idx="36">
                  <c:v>16.100000000000001</c:v>
                </c:pt>
                <c:pt idx="37">
                  <c:v>29.1</c:v>
                </c:pt>
                <c:pt idx="38">
                  <c:v>15.8</c:v>
                </c:pt>
                <c:pt idx="39">
                  <c:v>17</c:v>
                </c:pt>
                <c:pt idx="40">
                  <c:v>21.4</c:v>
                </c:pt>
                <c:pt idx="41">
                  <c:v>13.3</c:v>
                </c:pt>
                <c:pt idx="42">
                  <c:v>16.5</c:v>
                </c:pt>
                <c:pt idx="43">
                  <c:v>14.600000000000001</c:v>
                </c:pt>
                <c:pt idx="44">
                  <c:v>13.5</c:v>
                </c:pt>
                <c:pt idx="45">
                  <c:v>12.399999999999999</c:v>
                </c:pt>
                <c:pt idx="46">
                  <c:v>11.3</c:v>
                </c:pt>
                <c:pt idx="47">
                  <c:v>9.6</c:v>
                </c:pt>
                <c:pt idx="48">
                  <c:v>11</c:v>
                </c:pt>
              </c:numCache>
            </c:numRef>
          </c:xVal>
          <c:yVal>
            <c:numRef>
              <c:f>'12章'!$M$122:$M$170</c:f>
              <c:numCache>
                <c:formatCode>0.00_ </c:formatCode>
                <c:ptCount val="49"/>
                <c:pt idx="0">
                  <c:v>23.338775510204087</c:v>
                </c:pt>
                <c:pt idx="1">
                  <c:v>19.203061224489801</c:v>
                </c:pt>
                <c:pt idx="2">
                  <c:v>26.360204081632656</c:v>
                </c:pt>
                <c:pt idx="3">
                  <c:v>18.095918367346943</c:v>
                </c:pt>
                <c:pt idx="4">
                  <c:v>17.731632653061229</c:v>
                </c:pt>
                <c:pt idx="5">
                  <c:v>20.03163265306123</c:v>
                </c:pt>
                <c:pt idx="6">
                  <c:v>16.588775510204087</c:v>
                </c:pt>
                <c:pt idx="7">
                  <c:v>18.174489795918369</c:v>
                </c:pt>
                <c:pt idx="8">
                  <c:v>14.038775510204083</c:v>
                </c:pt>
                <c:pt idx="9">
                  <c:v>21.195918367346938</c:v>
                </c:pt>
                <c:pt idx="10">
                  <c:v>12.931632653061225</c:v>
                </c:pt>
                <c:pt idx="11">
                  <c:v>12.567346938775511</c:v>
                </c:pt>
                <c:pt idx="12">
                  <c:v>14.867346938775512</c:v>
                </c:pt>
                <c:pt idx="13">
                  <c:v>11.424489795918367</c:v>
                </c:pt>
                <c:pt idx="14">
                  <c:v>21.738775510204086</c:v>
                </c:pt>
                <c:pt idx="15">
                  <c:v>17.603061224489799</c:v>
                </c:pt>
                <c:pt idx="16">
                  <c:v>24.760204081632654</c:v>
                </c:pt>
                <c:pt idx="17">
                  <c:v>16.495918367346942</c:v>
                </c:pt>
                <c:pt idx="18">
                  <c:v>16.131632653061228</c:v>
                </c:pt>
                <c:pt idx="19">
                  <c:v>18.431632653061229</c:v>
                </c:pt>
                <c:pt idx="20">
                  <c:v>14.988775510204084</c:v>
                </c:pt>
                <c:pt idx="21">
                  <c:v>22.017346938775511</c:v>
                </c:pt>
                <c:pt idx="22">
                  <c:v>17.881632653061224</c:v>
                </c:pt>
                <c:pt idx="23">
                  <c:v>25.038775510204079</c:v>
                </c:pt>
                <c:pt idx="24">
                  <c:v>16.774489795918367</c:v>
                </c:pt>
                <c:pt idx="25">
                  <c:v>16.410204081632653</c:v>
                </c:pt>
                <c:pt idx="26">
                  <c:v>18.710204081632654</c:v>
                </c:pt>
                <c:pt idx="27">
                  <c:v>15.267346938775509</c:v>
                </c:pt>
                <c:pt idx="28">
                  <c:v>19.431632653061225</c:v>
                </c:pt>
                <c:pt idx="29">
                  <c:v>15.295918367346939</c:v>
                </c:pt>
                <c:pt idx="30">
                  <c:v>22.453061224489794</c:v>
                </c:pt>
                <c:pt idx="31">
                  <c:v>14.188775510204081</c:v>
                </c:pt>
                <c:pt idx="32">
                  <c:v>13.824489795918367</c:v>
                </c:pt>
                <c:pt idx="33">
                  <c:v>16.124489795918368</c:v>
                </c:pt>
                <c:pt idx="34">
                  <c:v>12.681632653061223</c:v>
                </c:pt>
                <c:pt idx="35">
                  <c:v>21.603061224489799</c:v>
                </c:pt>
                <c:pt idx="36">
                  <c:v>17.467346938775513</c:v>
                </c:pt>
                <c:pt idx="37">
                  <c:v>24.624489795918368</c:v>
                </c:pt>
                <c:pt idx="38">
                  <c:v>16.360204081632656</c:v>
                </c:pt>
                <c:pt idx="39">
                  <c:v>15.995918367346942</c:v>
                </c:pt>
                <c:pt idx="40">
                  <c:v>18.295918367346943</c:v>
                </c:pt>
                <c:pt idx="41">
                  <c:v>14.853061224489798</c:v>
                </c:pt>
                <c:pt idx="42">
                  <c:v>15.84591836734694</c:v>
                </c:pt>
                <c:pt idx="43">
                  <c:v>11.710204081632654</c:v>
                </c:pt>
                <c:pt idx="44">
                  <c:v>18.867346938775508</c:v>
                </c:pt>
                <c:pt idx="45">
                  <c:v>10.603061224489796</c:v>
                </c:pt>
                <c:pt idx="46">
                  <c:v>10.238775510204082</c:v>
                </c:pt>
                <c:pt idx="47">
                  <c:v>12.538775510204083</c:v>
                </c:pt>
                <c:pt idx="48">
                  <c:v>9.0959183673469379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127680"/>
        <c:axId val="207129600"/>
      </c:scatterChart>
      <c:valAx>
        <c:axId val="207127680"/>
        <c:scaling>
          <c:orientation val="minMax"/>
          <c:max val="35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CN" altLang="en-US"/>
                  <a:t>观测值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7129600"/>
        <c:crosses val="autoZero"/>
        <c:crossBetween val="midCat"/>
        <c:majorUnit val="5"/>
      </c:valAx>
      <c:valAx>
        <c:axId val="207129600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zh-CN" altLang="en-US"/>
                  <a:t>预测值</a:t>
                </a:r>
                <a:endParaRPr lang="en-US" altLang="zh-CN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207127680"/>
        <c:crosses val="autoZero"/>
        <c:crossBetween val="midCat"/>
        <c:majorUnit val="5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53</xdr:row>
      <xdr:rowOff>0</xdr:rowOff>
    </xdr:from>
    <xdr:to>
      <xdr:col>8</xdr:col>
      <xdr:colOff>594360</xdr:colOff>
      <xdr:row>64</xdr:row>
      <xdr:rowOff>175260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0.27824</cdr:x>
      <cdr:y>0.15556</cdr:y>
    </cdr:from>
    <cdr:to>
      <cdr:x>0.53431</cdr:x>
      <cdr:y>0.2701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65037" y="368649"/>
          <a:ext cx="796123" cy="2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altLang="zh-CN" sz="1100" i="1"/>
            <a:t>r</a:t>
          </a:r>
          <a:r>
            <a:rPr lang="en-US" altLang="zh-CN" sz="1100"/>
            <a:t>=0.7676</a:t>
          </a:r>
          <a:endParaRPr lang="zh-CN" altLang="en-US" sz="1100"/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0.27824</cdr:x>
      <cdr:y>0.15556</cdr:y>
    </cdr:from>
    <cdr:to>
      <cdr:x>0.53431</cdr:x>
      <cdr:y>0.2701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65037" y="368649"/>
          <a:ext cx="796123" cy="2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altLang="zh-CN" sz="1100" i="1"/>
            <a:t>r</a:t>
          </a:r>
          <a:r>
            <a:rPr lang="en-US" altLang="zh-CN" sz="1100"/>
            <a:t>=0.8068</a:t>
          </a:r>
          <a:endParaRPr lang="zh-CN" altLang="en-US" sz="1100"/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0.27824</cdr:x>
      <cdr:y>0.15556</cdr:y>
    </cdr:from>
    <cdr:to>
      <cdr:x>0.53431</cdr:x>
      <cdr:y>0.2701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65037" y="368649"/>
          <a:ext cx="796123" cy="2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altLang="zh-CN" sz="1100" i="1"/>
            <a:t>r</a:t>
          </a:r>
          <a:r>
            <a:rPr lang="en-US" altLang="zh-CN" sz="1100"/>
            <a:t>=0.8091</a:t>
          </a:r>
          <a:endParaRPr lang="zh-CN" altLang="en-US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58</xdr:row>
      <xdr:rowOff>0</xdr:rowOff>
    </xdr:from>
    <xdr:to>
      <xdr:col>11</xdr:col>
      <xdr:colOff>601980</xdr:colOff>
      <xdr:row>70</xdr:row>
      <xdr:rowOff>175260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89</xdr:row>
      <xdr:rowOff>0</xdr:rowOff>
    </xdr:from>
    <xdr:to>
      <xdr:col>12</xdr:col>
      <xdr:colOff>601980</xdr:colOff>
      <xdr:row>101</xdr:row>
      <xdr:rowOff>175260</xdr:rowOff>
    </xdr:to>
    <xdr:graphicFrame macro="">
      <xdr:nvGraphicFramePr>
        <xdr:cNvPr id="5" name="图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10</xdr:col>
      <xdr:colOff>601980</xdr:colOff>
      <xdr:row>9</xdr:row>
      <xdr:rowOff>175260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88</xdr:row>
      <xdr:rowOff>0</xdr:rowOff>
    </xdr:from>
    <xdr:to>
      <xdr:col>10</xdr:col>
      <xdr:colOff>716280</xdr:colOff>
      <xdr:row>100</xdr:row>
      <xdr:rowOff>175260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365760</xdr:colOff>
      <xdr:row>34</xdr:row>
      <xdr:rowOff>129540</xdr:rowOff>
    </xdr:from>
    <xdr:to>
      <xdr:col>1</xdr:col>
      <xdr:colOff>287220</xdr:colOff>
      <xdr:row>36</xdr:row>
      <xdr:rowOff>51780</xdr:rowOff>
    </xdr:to>
    <xdr:sp macro="" textlink="">
      <xdr:nvSpPr>
        <xdr:cNvPr id="2" name="Line 44"/>
        <xdr:cNvSpPr>
          <a:spLocks noChangeShapeType="1"/>
        </xdr:cNvSpPr>
      </xdr:nvSpPr>
      <xdr:spPr bwMode="auto">
        <a:xfrm>
          <a:off x="365760" y="6195060"/>
          <a:ext cx="59202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335280</xdr:colOff>
      <xdr:row>34</xdr:row>
      <xdr:rowOff>129540</xdr:rowOff>
    </xdr:from>
    <xdr:to>
      <xdr:col>2</xdr:col>
      <xdr:colOff>256740</xdr:colOff>
      <xdr:row>36</xdr:row>
      <xdr:rowOff>51780</xdr:rowOff>
    </xdr:to>
    <xdr:sp macro="" textlink="">
      <xdr:nvSpPr>
        <xdr:cNvPr id="3" name="Line 45"/>
        <xdr:cNvSpPr>
          <a:spLocks noChangeShapeType="1"/>
        </xdr:cNvSpPr>
      </xdr:nvSpPr>
      <xdr:spPr bwMode="auto">
        <a:xfrm flipH="1">
          <a:off x="1005840" y="6195060"/>
          <a:ext cx="53106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358140</xdr:colOff>
      <xdr:row>34</xdr:row>
      <xdr:rowOff>175260</xdr:rowOff>
    </xdr:from>
    <xdr:to>
      <xdr:col>1</xdr:col>
      <xdr:colOff>266700</xdr:colOff>
      <xdr:row>38</xdr:row>
      <xdr:rowOff>45720</xdr:rowOff>
    </xdr:to>
    <xdr:sp macro="" textlink="">
      <xdr:nvSpPr>
        <xdr:cNvPr id="4" name="Line 47"/>
        <xdr:cNvSpPr>
          <a:spLocks noChangeShapeType="1"/>
        </xdr:cNvSpPr>
      </xdr:nvSpPr>
      <xdr:spPr bwMode="auto">
        <a:xfrm>
          <a:off x="358140" y="6240780"/>
          <a:ext cx="579120" cy="6019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342900</xdr:colOff>
      <xdr:row>38</xdr:row>
      <xdr:rowOff>137160</xdr:rowOff>
    </xdr:from>
    <xdr:to>
      <xdr:col>2</xdr:col>
      <xdr:colOff>264360</xdr:colOff>
      <xdr:row>40</xdr:row>
      <xdr:rowOff>59400</xdr:rowOff>
    </xdr:to>
    <xdr:sp macro="" textlink="">
      <xdr:nvSpPr>
        <xdr:cNvPr id="5" name="Line 48"/>
        <xdr:cNvSpPr>
          <a:spLocks noChangeShapeType="1"/>
        </xdr:cNvSpPr>
      </xdr:nvSpPr>
      <xdr:spPr bwMode="auto">
        <a:xfrm>
          <a:off x="1013460" y="6934200"/>
          <a:ext cx="53106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304800</xdr:colOff>
      <xdr:row>36</xdr:row>
      <xdr:rowOff>152400</xdr:rowOff>
    </xdr:from>
    <xdr:to>
      <xdr:col>1</xdr:col>
      <xdr:colOff>304800</xdr:colOff>
      <xdr:row>38</xdr:row>
      <xdr:rowOff>38640</xdr:rowOff>
    </xdr:to>
    <xdr:sp macro="" textlink="">
      <xdr:nvSpPr>
        <xdr:cNvPr id="6" name="Line 49"/>
        <xdr:cNvSpPr>
          <a:spLocks noChangeShapeType="1"/>
        </xdr:cNvSpPr>
      </xdr:nvSpPr>
      <xdr:spPr bwMode="auto">
        <a:xfrm>
          <a:off x="975360" y="6583680"/>
          <a:ext cx="0" cy="25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34</xdr:row>
      <xdr:rowOff>129540</xdr:rowOff>
    </xdr:from>
    <xdr:to>
      <xdr:col>3</xdr:col>
      <xdr:colOff>264360</xdr:colOff>
      <xdr:row>36</xdr:row>
      <xdr:rowOff>51780</xdr:rowOff>
    </xdr:to>
    <xdr:sp macro="" textlink="">
      <xdr:nvSpPr>
        <xdr:cNvPr id="7" name="Line 44"/>
        <xdr:cNvSpPr>
          <a:spLocks noChangeShapeType="1"/>
        </xdr:cNvSpPr>
      </xdr:nvSpPr>
      <xdr:spPr bwMode="auto">
        <a:xfrm>
          <a:off x="1623060" y="6195060"/>
          <a:ext cx="53106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342900</xdr:colOff>
      <xdr:row>34</xdr:row>
      <xdr:rowOff>129540</xdr:rowOff>
    </xdr:from>
    <xdr:to>
      <xdr:col>4</xdr:col>
      <xdr:colOff>264360</xdr:colOff>
      <xdr:row>36</xdr:row>
      <xdr:rowOff>51780</xdr:rowOff>
    </xdr:to>
    <xdr:sp macro="" textlink="">
      <xdr:nvSpPr>
        <xdr:cNvPr id="8" name="Line 45"/>
        <xdr:cNvSpPr>
          <a:spLocks noChangeShapeType="1"/>
        </xdr:cNvSpPr>
      </xdr:nvSpPr>
      <xdr:spPr bwMode="auto">
        <a:xfrm flipH="1">
          <a:off x="2232660" y="6195060"/>
          <a:ext cx="53106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38</xdr:row>
      <xdr:rowOff>129540</xdr:rowOff>
    </xdr:from>
    <xdr:to>
      <xdr:col>3</xdr:col>
      <xdr:colOff>264360</xdr:colOff>
      <xdr:row>40</xdr:row>
      <xdr:rowOff>51780</xdr:rowOff>
    </xdr:to>
    <xdr:sp macro="" textlink="">
      <xdr:nvSpPr>
        <xdr:cNvPr id="9" name="Line 45"/>
        <xdr:cNvSpPr>
          <a:spLocks noChangeShapeType="1"/>
        </xdr:cNvSpPr>
      </xdr:nvSpPr>
      <xdr:spPr bwMode="auto">
        <a:xfrm flipH="1">
          <a:off x="1623060" y="6926580"/>
          <a:ext cx="531060" cy="288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312420</xdr:colOff>
      <xdr:row>36</xdr:row>
      <xdr:rowOff>167640</xdr:rowOff>
    </xdr:from>
    <xdr:to>
      <xdr:col>3</xdr:col>
      <xdr:colOff>312420</xdr:colOff>
      <xdr:row>38</xdr:row>
      <xdr:rowOff>17880</xdr:rowOff>
    </xdr:to>
    <xdr:sp macro="" textlink="">
      <xdr:nvSpPr>
        <xdr:cNvPr id="10" name="Line 44"/>
        <xdr:cNvSpPr>
          <a:spLocks noChangeShapeType="1"/>
        </xdr:cNvSpPr>
      </xdr:nvSpPr>
      <xdr:spPr bwMode="auto">
        <a:xfrm flipH="1">
          <a:off x="2202180" y="6598920"/>
          <a:ext cx="0" cy="216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350520</xdr:colOff>
      <xdr:row>34</xdr:row>
      <xdr:rowOff>167640</xdr:rowOff>
    </xdr:from>
    <xdr:to>
      <xdr:col>4</xdr:col>
      <xdr:colOff>289560</xdr:colOff>
      <xdr:row>38</xdr:row>
      <xdr:rowOff>15240</xdr:rowOff>
    </xdr:to>
    <xdr:sp macro="" textlink="">
      <xdr:nvSpPr>
        <xdr:cNvPr id="11" name="Line 45"/>
        <xdr:cNvSpPr>
          <a:spLocks noChangeShapeType="1"/>
        </xdr:cNvSpPr>
      </xdr:nvSpPr>
      <xdr:spPr bwMode="auto">
        <a:xfrm flipH="1">
          <a:off x="2240280" y="6233160"/>
          <a:ext cx="548640" cy="5791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67</xdr:row>
      <xdr:rowOff>0</xdr:rowOff>
    </xdr:from>
    <xdr:to>
      <xdr:col>12</xdr:col>
      <xdr:colOff>601980</xdr:colOff>
      <xdr:row>79</xdr:row>
      <xdr:rowOff>167640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73</xdr:row>
      <xdr:rowOff>0</xdr:rowOff>
    </xdr:from>
    <xdr:to>
      <xdr:col>17</xdr:col>
      <xdr:colOff>601980</xdr:colOff>
      <xdr:row>87</xdr:row>
      <xdr:rowOff>175260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133</xdr:row>
      <xdr:rowOff>0</xdr:rowOff>
    </xdr:from>
    <xdr:to>
      <xdr:col>8</xdr:col>
      <xdr:colOff>647700</xdr:colOff>
      <xdr:row>143</xdr:row>
      <xdr:rowOff>167640</xdr:rowOff>
    </xdr:to>
    <xdr:graphicFrame macro="">
      <xdr:nvGraphicFramePr>
        <xdr:cNvPr id="4" name="图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103</xdr:row>
      <xdr:rowOff>0</xdr:rowOff>
    </xdr:from>
    <xdr:to>
      <xdr:col>13</xdr:col>
      <xdr:colOff>716280</xdr:colOff>
      <xdr:row>114</xdr:row>
      <xdr:rowOff>0</xdr:rowOff>
    </xdr:to>
    <xdr:graphicFrame macro="">
      <xdr:nvGraphicFramePr>
        <xdr:cNvPr id="7" name="图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103</xdr:row>
      <xdr:rowOff>0</xdr:rowOff>
    </xdr:from>
    <xdr:to>
      <xdr:col>19</xdr:col>
      <xdr:colOff>0</xdr:colOff>
      <xdr:row>114</xdr:row>
      <xdr:rowOff>0</xdr:rowOff>
    </xdr:to>
    <xdr:graphicFrame macro="">
      <xdr:nvGraphicFramePr>
        <xdr:cNvPr id="11" name="图表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135</xdr:row>
      <xdr:rowOff>0</xdr:rowOff>
    </xdr:from>
    <xdr:to>
      <xdr:col>6</xdr:col>
      <xdr:colOff>609600</xdr:colOff>
      <xdr:row>147</xdr:row>
      <xdr:rowOff>175260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191</xdr:row>
      <xdr:rowOff>0</xdr:rowOff>
    </xdr:from>
    <xdr:to>
      <xdr:col>6</xdr:col>
      <xdr:colOff>609600</xdr:colOff>
      <xdr:row>203</xdr:row>
      <xdr:rowOff>175260</xdr:rowOff>
    </xdr:to>
    <xdr:graphicFrame macro="">
      <xdr:nvGraphicFramePr>
        <xdr:cNvPr id="4" name="图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253</xdr:row>
      <xdr:rowOff>0</xdr:rowOff>
    </xdr:from>
    <xdr:to>
      <xdr:col>6</xdr:col>
      <xdr:colOff>609600</xdr:colOff>
      <xdr:row>265</xdr:row>
      <xdr:rowOff>175260</xdr:rowOff>
    </xdr:to>
    <xdr:graphicFrame macro="">
      <xdr:nvGraphicFramePr>
        <xdr:cNvPr id="5" name="图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315</xdr:row>
      <xdr:rowOff>0</xdr:rowOff>
    </xdr:from>
    <xdr:to>
      <xdr:col>6</xdr:col>
      <xdr:colOff>609600</xdr:colOff>
      <xdr:row>327</xdr:row>
      <xdr:rowOff>175260</xdr:rowOff>
    </xdr:to>
    <xdr:graphicFrame macro="">
      <xdr:nvGraphicFramePr>
        <xdr:cNvPr id="6" name="图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377</xdr:row>
      <xdr:rowOff>0</xdr:rowOff>
    </xdr:from>
    <xdr:to>
      <xdr:col>6</xdr:col>
      <xdr:colOff>609600</xdr:colOff>
      <xdr:row>389</xdr:row>
      <xdr:rowOff>175260</xdr:rowOff>
    </xdr:to>
    <xdr:graphicFrame macro="">
      <xdr:nvGraphicFramePr>
        <xdr:cNvPr id="7" name="图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0.27824</cdr:x>
      <cdr:y>0.15556</cdr:y>
    </cdr:from>
    <cdr:to>
      <cdr:x>0.53431</cdr:x>
      <cdr:y>0.2701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65037" y="368649"/>
          <a:ext cx="796123" cy="2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altLang="zh-CN" sz="1100" i="1"/>
            <a:t>r</a:t>
          </a:r>
          <a:r>
            <a:rPr lang="en-US" altLang="zh-CN" sz="1100"/>
            <a:t>=0.8607</a:t>
          </a:r>
          <a:endParaRPr lang="zh-CN" altLang="en-US" sz="1100"/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0.27824</cdr:x>
      <cdr:y>0.15556</cdr:y>
    </cdr:from>
    <cdr:to>
      <cdr:x>0.53431</cdr:x>
      <cdr:y>0.2701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65037" y="368649"/>
          <a:ext cx="796123" cy="271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altLang="zh-CN" sz="1100" i="1"/>
            <a:t>r</a:t>
          </a:r>
          <a:r>
            <a:rPr lang="en-US" altLang="zh-CN" sz="1100"/>
            <a:t>=0.7736</a:t>
          </a:r>
          <a:endParaRPr lang="zh-CN" altLang="en-US" sz="1100"/>
        </a:p>
      </cdr:txBody>
    </cdr: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3"/>
  <sheetViews>
    <sheetView topLeftCell="A160" workbookViewId="0">
      <selection activeCell="G175" sqref="G175"/>
    </sheetView>
  </sheetViews>
  <sheetFormatPr defaultRowHeight="13.8"/>
  <cols>
    <col min="1" max="4" width="8.88671875" style="2"/>
    <col min="5" max="5" width="9.44140625" style="2" customWidth="1"/>
    <col min="6" max="17" width="8.88671875" style="2"/>
    <col min="18" max="18" width="10.44140625" style="2" customWidth="1"/>
    <col min="19" max="16384" width="8.88671875" style="2"/>
  </cols>
  <sheetData>
    <row r="1" spans="1:10" ht="14.4">
      <c r="A1" s="1" t="s">
        <v>0</v>
      </c>
      <c r="B1" s="2" t="s">
        <v>1</v>
      </c>
      <c r="C1" s="53" t="s">
        <v>2</v>
      </c>
      <c r="D1" s="53" t="s">
        <v>3</v>
      </c>
      <c r="E1" s="53" t="s">
        <v>4</v>
      </c>
      <c r="F1" s="53" t="s">
        <v>5</v>
      </c>
      <c r="G1" s="53" t="s">
        <v>6</v>
      </c>
      <c r="H1" s="2" t="s">
        <v>7</v>
      </c>
      <c r="I1" s="2" t="s">
        <v>8</v>
      </c>
    </row>
    <row r="2" spans="1:10">
      <c r="B2" s="2" t="s">
        <v>9</v>
      </c>
      <c r="C2" s="2">
        <v>0</v>
      </c>
      <c r="D2" s="2">
        <v>1</v>
      </c>
      <c r="E2" s="2">
        <v>0</v>
      </c>
      <c r="F2" s="2">
        <f>C2+D2/2</f>
        <v>0.5</v>
      </c>
      <c r="G2" s="2">
        <f>1-F2</f>
        <v>0.5</v>
      </c>
      <c r="H2" s="2">
        <f>D2</f>
        <v>1</v>
      </c>
      <c r="I2" s="2">
        <f>1-F2^2-G2^2</f>
        <v>0.5</v>
      </c>
    </row>
    <row r="3" spans="1:10">
      <c r="B3" s="2" t="s">
        <v>10</v>
      </c>
      <c r="C3" s="2">
        <v>0.25</v>
      </c>
      <c r="D3" s="2">
        <v>0.5</v>
      </c>
      <c r="E3" s="2">
        <v>0.25</v>
      </c>
      <c r="F3" s="2">
        <f>C3+D3/2</f>
        <v>0.5</v>
      </c>
      <c r="G3" s="2">
        <f>1-F3</f>
        <v>0.5</v>
      </c>
      <c r="H3" s="2">
        <f>D3</f>
        <v>0.5</v>
      </c>
      <c r="I3" s="2">
        <f>1-F3^2-G3^2</f>
        <v>0.5</v>
      </c>
    </row>
    <row r="4" spans="1:10">
      <c r="B4" s="2" t="s">
        <v>11</v>
      </c>
      <c r="C4" s="2">
        <v>0.375</v>
      </c>
      <c r="D4" s="2">
        <v>0.25</v>
      </c>
      <c r="E4" s="2">
        <v>0.375</v>
      </c>
      <c r="F4" s="2">
        <f t="shared" ref="F4:F6" si="0">C4+D4/2</f>
        <v>0.5</v>
      </c>
      <c r="G4" s="2">
        <f t="shared" ref="G4:G6" si="1">1-F4</f>
        <v>0.5</v>
      </c>
      <c r="H4" s="2">
        <f t="shared" ref="H4:H6" si="2">D4</f>
        <v>0.25</v>
      </c>
      <c r="I4" s="2">
        <f t="shared" ref="I4:I6" si="3">1-F4^2-G4^2</f>
        <v>0.5</v>
      </c>
    </row>
    <row r="5" spans="1:10">
      <c r="B5" s="2" t="s">
        <v>1988</v>
      </c>
      <c r="C5" s="2">
        <v>0.75</v>
      </c>
      <c r="D5" s="2">
        <v>0.25</v>
      </c>
      <c r="E5" s="2">
        <v>0</v>
      </c>
      <c r="F5" s="2">
        <f t="shared" si="0"/>
        <v>0.875</v>
      </c>
      <c r="G5" s="2">
        <f t="shared" si="1"/>
        <v>0.125</v>
      </c>
      <c r="H5" s="2">
        <f t="shared" si="2"/>
        <v>0.25</v>
      </c>
      <c r="I5" s="2">
        <f t="shared" si="3"/>
        <v>0.21875</v>
      </c>
    </row>
    <row r="6" spans="1:10">
      <c r="B6" s="2" t="s">
        <v>1989</v>
      </c>
      <c r="C6" s="2">
        <f>C5+D5/4</f>
        <v>0.8125</v>
      </c>
      <c r="D6" s="2">
        <f>D5/2</f>
        <v>0.125</v>
      </c>
      <c r="E6" s="2">
        <f>D5/4</f>
        <v>6.25E-2</v>
      </c>
      <c r="F6" s="2">
        <f t="shared" si="0"/>
        <v>0.875</v>
      </c>
      <c r="G6" s="2">
        <f t="shared" si="1"/>
        <v>0.125</v>
      </c>
      <c r="H6" s="2">
        <f t="shared" si="2"/>
        <v>0.125</v>
      </c>
      <c r="I6" s="2">
        <f t="shared" si="3"/>
        <v>0.21875</v>
      </c>
    </row>
    <row r="9" spans="1:10" ht="14.4">
      <c r="A9" s="1" t="s">
        <v>12</v>
      </c>
      <c r="B9" s="2" t="s">
        <v>13</v>
      </c>
    </row>
    <row r="10" spans="1:10" ht="16.8">
      <c r="B10" s="2" t="s">
        <v>14</v>
      </c>
    </row>
    <row r="11" spans="1:10" ht="14.4">
      <c r="B11" s="2" t="s">
        <v>15</v>
      </c>
    </row>
    <row r="13" spans="1:10" ht="14.4">
      <c r="A13" s="1" t="s">
        <v>16</v>
      </c>
      <c r="C13" s="53" t="s">
        <v>2</v>
      </c>
      <c r="D13" s="53" t="s">
        <v>3</v>
      </c>
      <c r="E13" s="53" t="s">
        <v>4</v>
      </c>
      <c r="H13" s="53" t="s">
        <v>2</v>
      </c>
      <c r="I13" s="53" t="s">
        <v>3</v>
      </c>
      <c r="J13" s="53" t="s">
        <v>4</v>
      </c>
    </row>
    <row r="14" spans="1:10">
      <c r="B14" s="2" t="s">
        <v>9</v>
      </c>
      <c r="C14" s="2">
        <v>0</v>
      </c>
      <c r="D14" s="2">
        <v>1</v>
      </c>
      <c r="E14" s="2">
        <v>0</v>
      </c>
      <c r="G14" s="2" t="s">
        <v>9</v>
      </c>
      <c r="H14" s="2">
        <v>0</v>
      </c>
      <c r="I14" s="2">
        <v>1</v>
      </c>
      <c r="J14" s="2">
        <v>0</v>
      </c>
    </row>
    <row r="15" spans="1:10">
      <c r="B15" s="2" t="s">
        <v>10</v>
      </c>
      <c r="C15" s="2">
        <f>C14+D14/4</f>
        <v>0.25</v>
      </c>
      <c r="D15" s="2">
        <f>D14/2</f>
        <v>0.5</v>
      </c>
      <c r="E15" s="2">
        <f>E14+D14/4</f>
        <v>0.25</v>
      </c>
      <c r="G15" s="2" t="s">
        <v>17</v>
      </c>
      <c r="H15" s="2">
        <f>1-I15</f>
        <v>0.5</v>
      </c>
      <c r="I15" s="2">
        <f>I14/2</f>
        <v>0.5</v>
      </c>
      <c r="J15" s="2">
        <v>0</v>
      </c>
    </row>
    <row r="16" spans="1:10">
      <c r="B16" s="2" t="s">
        <v>11</v>
      </c>
      <c r="C16" s="2">
        <f>C15+D15/4</f>
        <v>0.375</v>
      </c>
      <c r="D16" s="2">
        <f>D15/2</f>
        <v>0.25</v>
      </c>
      <c r="E16" s="2">
        <f>E15+D15/4</f>
        <v>0.375</v>
      </c>
      <c r="G16" s="2" t="s">
        <v>18</v>
      </c>
      <c r="H16" s="2">
        <f>1-I16</f>
        <v>0.75</v>
      </c>
      <c r="I16" s="2">
        <f>I15/2</f>
        <v>0.25</v>
      </c>
      <c r="J16" s="2">
        <v>0</v>
      </c>
    </row>
    <row r="17" spans="1:10" ht="14.4">
      <c r="B17" s="2" t="s">
        <v>19</v>
      </c>
      <c r="C17" s="2">
        <f>C16*8</f>
        <v>3</v>
      </c>
      <c r="D17" s="2">
        <f t="shared" ref="D17:E17" si="4">D16*8</f>
        <v>2</v>
      </c>
      <c r="E17" s="2">
        <f t="shared" si="4"/>
        <v>3</v>
      </c>
      <c r="G17" s="2" t="s">
        <v>20</v>
      </c>
      <c r="H17" s="2">
        <f>H16+I16/4</f>
        <v>0.8125</v>
      </c>
      <c r="I17" s="2">
        <f>I16/2</f>
        <v>0.125</v>
      </c>
      <c r="J17" s="2">
        <f>J16+I16/4</f>
        <v>6.25E-2</v>
      </c>
    </row>
    <row r="18" spans="1:10" ht="14.4">
      <c r="G18" s="2" t="s">
        <v>19</v>
      </c>
      <c r="H18" s="2">
        <f>H17*16</f>
        <v>13</v>
      </c>
      <c r="I18" s="2">
        <f t="shared" ref="I18:J18" si="5">I17*16</f>
        <v>2</v>
      </c>
      <c r="J18" s="2">
        <f t="shared" si="5"/>
        <v>1</v>
      </c>
    </row>
    <row r="20" spans="1:10" ht="14.4">
      <c r="A20" s="1" t="s">
        <v>21</v>
      </c>
      <c r="C20" s="9" t="s">
        <v>383</v>
      </c>
      <c r="F20" s="2" t="s">
        <v>22</v>
      </c>
    </row>
    <row r="21" spans="1:10" ht="16.8">
      <c r="C21" s="2" t="s">
        <v>23</v>
      </c>
      <c r="D21" s="2" t="s">
        <v>24</v>
      </c>
      <c r="E21" s="2" t="s">
        <v>25</v>
      </c>
      <c r="F21" s="2" t="s">
        <v>23</v>
      </c>
      <c r="G21" s="2" t="s">
        <v>24</v>
      </c>
      <c r="H21" s="3" t="s">
        <v>26</v>
      </c>
      <c r="I21" s="2" t="s">
        <v>27</v>
      </c>
      <c r="J21" s="2" t="s">
        <v>1485</v>
      </c>
    </row>
    <row r="22" spans="1:10" ht="14.4">
      <c r="B22" s="4" t="s">
        <v>28</v>
      </c>
      <c r="C22" s="2">
        <v>5474</v>
      </c>
      <c r="D22" s="2">
        <v>1850</v>
      </c>
      <c r="E22" s="2">
        <f>C22+D22</f>
        <v>7324</v>
      </c>
      <c r="F22" s="2">
        <f>E22*0.75</f>
        <v>5493</v>
      </c>
      <c r="G22" s="2">
        <f>E22*0.25</f>
        <v>1831</v>
      </c>
      <c r="H22" s="5">
        <f>(C22-F22)^2/F22+(D22-G22)^2/G22</f>
        <v>0.26288002912798109</v>
      </c>
      <c r="I22" s="5">
        <f>_xlfn.CHISQ.DIST.RT(H22,1)</f>
        <v>0.60814840452207419</v>
      </c>
      <c r="J22" s="54">
        <f>C22/D22</f>
        <v>2.9589189189189189</v>
      </c>
    </row>
    <row r="23" spans="1:10" ht="14.4">
      <c r="B23" s="4" t="s">
        <v>29</v>
      </c>
      <c r="C23" s="2">
        <v>6022</v>
      </c>
      <c r="D23" s="2">
        <v>2001</v>
      </c>
      <c r="E23" s="2">
        <f t="shared" ref="E23:E28" si="6">C23+D23</f>
        <v>8023</v>
      </c>
      <c r="F23" s="2">
        <f t="shared" ref="F23:F28" si="7">E23*0.75</f>
        <v>6017.25</v>
      </c>
      <c r="G23" s="2">
        <f t="shared" ref="G23:G28" si="8">E23*0.25</f>
        <v>2005.75</v>
      </c>
      <c r="H23" s="5">
        <f t="shared" ref="H23:H28" si="9">(C23-F23)^2/F23+(D23-G23)^2/G23</f>
        <v>1.4998545847355519E-2</v>
      </c>
      <c r="I23" s="5">
        <f t="shared" ref="I23:I28" si="10">_xlfn.CHISQ.DIST.RT(H23,1)</f>
        <v>0.90252795158532106</v>
      </c>
      <c r="J23" s="54">
        <f t="shared" ref="J23:J28" si="11">C23/D23</f>
        <v>3.0094952523738132</v>
      </c>
    </row>
    <row r="24" spans="1:10" ht="14.4">
      <c r="B24" s="4" t="s">
        <v>30</v>
      </c>
      <c r="C24" s="2">
        <v>705</v>
      </c>
      <c r="D24" s="2">
        <v>224</v>
      </c>
      <c r="E24" s="2">
        <f t="shared" si="6"/>
        <v>929</v>
      </c>
      <c r="F24" s="2">
        <f t="shared" si="7"/>
        <v>696.75</v>
      </c>
      <c r="G24" s="2">
        <f t="shared" si="8"/>
        <v>232.25</v>
      </c>
      <c r="H24" s="5">
        <f t="shared" si="9"/>
        <v>0.3907427341227126</v>
      </c>
      <c r="I24" s="5">
        <f t="shared" si="10"/>
        <v>0.53190924738390888</v>
      </c>
      <c r="J24" s="54">
        <f t="shared" si="11"/>
        <v>3.1473214285714284</v>
      </c>
    </row>
    <row r="25" spans="1:10" ht="14.4">
      <c r="B25" s="4" t="s">
        <v>31</v>
      </c>
      <c r="C25" s="2">
        <v>882</v>
      </c>
      <c r="D25" s="2">
        <v>299</v>
      </c>
      <c r="E25" s="2">
        <f t="shared" si="6"/>
        <v>1181</v>
      </c>
      <c r="F25" s="2">
        <f t="shared" si="7"/>
        <v>885.75</v>
      </c>
      <c r="G25" s="2">
        <f t="shared" si="8"/>
        <v>295.25</v>
      </c>
      <c r="H25" s="5">
        <f t="shared" si="9"/>
        <v>6.3505503810330224E-2</v>
      </c>
      <c r="I25" s="5">
        <f t="shared" si="10"/>
        <v>0.80103875753142117</v>
      </c>
      <c r="J25" s="54">
        <f t="shared" si="11"/>
        <v>2.9498327759197323</v>
      </c>
    </row>
    <row r="26" spans="1:10" ht="14.4">
      <c r="B26" s="4" t="s">
        <v>32</v>
      </c>
      <c r="C26" s="2">
        <v>428</v>
      </c>
      <c r="D26" s="2">
        <v>152</v>
      </c>
      <c r="E26" s="2">
        <f t="shared" si="6"/>
        <v>580</v>
      </c>
      <c r="F26" s="2">
        <f t="shared" si="7"/>
        <v>435</v>
      </c>
      <c r="G26" s="2">
        <f t="shared" si="8"/>
        <v>145</v>
      </c>
      <c r="H26" s="5">
        <f t="shared" si="9"/>
        <v>0.45057471264367815</v>
      </c>
      <c r="I26" s="5">
        <f t="shared" si="10"/>
        <v>0.50206215878984994</v>
      </c>
      <c r="J26" s="54">
        <f t="shared" si="11"/>
        <v>2.8157894736842106</v>
      </c>
    </row>
    <row r="27" spans="1:10" ht="14.4">
      <c r="B27" s="4" t="s">
        <v>33</v>
      </c>
      <c r="C27" s="2">
        <v>651</v>
      </c>
      <c r="D27" s="2">
        <v>207</v>
      </c>
      <c r="E27" s="2">
        <f t="shared" si="6"/>
        <v>858</v>
      </c>
      <c r="F27" s="2">
        <f t="shared" si="7"/>
        <v>643.5</v>
      </c>
      <c r="G27" s="2">
        <f t="shared" si="8"/>
        <v>214.5</v>
      </c>
      <c r="H27" s="5">
        <f t="shared" si="9"/>
        <v>0.34965034965034963</v>
      </c>
      <c r="I27" s="5">
        <f t="shared" si="10"/>
        <v>0.55431112540016692</v>
      </c>
      <c r="J27" s="54">
        <f t="shared" si="11"/>
        <v>3.1449275362318843</v>
      </c>
    </row>
    <row r="28" spans="1:10" ht="14.4">
      <c r="B28" s="4" t="s">
        <v>34</v>
      </c>
      <c r="C28" s="2">
        <v>787</v>
      </c>
      <c r="D28" s="2">
        <v>277</v>
      </c>
      <c r="E28" s="2">
        <f t="shared" si="6"/>
        <v>1064</v>
      </c>
      <c r="F28" s="2">
        <f t="shared" si="7"/>
        <v>798</v>
      </c>
      <c r="G28" s="2">
        <f t="shared" si="8"/>
        <v>266</v>
      </c>
      <c r="H28" s="5">
        <f t="shared" si="9"/>
        <v>0.60651629072681701</v>
      </c>
      <c r="I28" s="5">
        <f t="shared" si="10"/>
        <v>0.4361025114842319</v>
      </c>
      <c r="J28" s="54">
        <f t="shared" si="11"/>
        <v>2.8411552346570397</v>
      </c>
    </row>
    <row r="30" spans="1:10" ht="14.4">
      <c r="A30" s="1" t="s">
        <v>35</v>
      </c>
      <c r="B30" s="4" t="s">
        <v>36</v>
      </c>
      <c r="C30" s="2" t="s">
        <v>37</v>
      </c>
    </row>
    <row r="31" spans="1:10" ht="14.4">
      <c r="B31" s="2" t="s">
        <v>38</v>
      </c>
      <c r="C31" s="2" t="s">
        <v>39</v>
      </c>
      <c r="D31" s="2" t="s">
        <v>40</v>
      </c>
      <c r="E31" s="2" t="s">
        <v>41</v>
      </c>
      <c r="G31" s="2" t="s">
        <v>42</v>
      </c>
      <c r="H31" s="2" t="s">
        <v>39</v>
      </c>
      <c r="I31" s="2" t="s">
        <v>40</v>
      </c>
      <c r="J31" s="2" t="s">
        <v>41</v>
      </c>
    </row>
    <row r="32" spans="1:10" ht="14.4">
      <c r="B32" s="4" t="s">
        <v>43</v>
      </c>
      <c r="C32" s="2">
        <v>315</v>
      </c>
      <c r="D32" s="2">
        <v>108</v>
      </c>
      <c r="E32" s="2">
        <f>C32+D32</f>
        <v>423</v>
      </c>
      <c r="G32" s="4" t="s">
        <v>43</v>
      </c>
      <c r="H32" s="2">
        <f>E34*9/16</f>
        <v>312.75</v>
      </c>
      <c r="I32" s="2">
        <f>E34*3/16</f>
        <v>104.25</v>
      </c>
      <c r="J32" s="2">
        <f>E34*3/4</f>
        <v>417</v>
      </c>
    </row>
    <row r="33" spans="1:10" ht="14.4">
      <c r="B33" s="4" t="s">
        <v>44</v>
      </c>
      <c r="C33" s="2">
        <v>101</v>
      </c>
      <c r="D33" s="2">
        <v>32</v>
      </c>
      <c r="E33" s="2">
        <f>C33+D33</f>
        <v>133</v>
      </c>
      <c r="G33" s="4" t="s">
        <v>44</v>
      </c>
      <c r="H33" s="2">
        <f>E34*3/16</f>
        <v>104.25</v>
      </c>
      <c r="I33" s="2">
        <f>E34/16</f>
        <v>34.75</v>
      </c>
      <c r="J33" s="2">
        <f>E34/4</f>
        <v>139</v>
      </c>
    </row>
    <row r="34" spans="1:10" ht="14.4">
      <c r="B34" s="4" t="s">
        <v>45</v>
      </c>
      <c r="C34" s="2">
        <f>C32+C33</f>
        <v>416</v>
      </c>
      <c r="D34" s="2">
        <f>D32+D33</f>
        <v>140</v>
      </c>
      <c r="E34" s="2">
        <f>SUM(C32:D33)</f>
        <v>556</v>
      </c>
      <c r="G34" s="4" t="s">
        <v>45</v>
      </c>
      <c r="H34" s="2">
        <f>E34*3/4</f>
        <v>417</v>
      </c>
      <c r="I34" s="2">
        <f>E34/4</f>
        <v>139</v>
      </c>
    </row>
    <row r="35" spans="1:10" ht="16.8">
      <c r="B35" s="3" t="s">
        <v>26</v>
      </c>
      <c r="C35" s="2" t="s">
        <v>39</v>
      </c>
      <c r="D35" s="2" t="s">
        <v>40</v>
      </c>
      <c r="E35" s="2" t="s">
        <v>41</v>
      </c>
      <c r="F35" s="4"/>
      <c r="J35" s="4"/>
    </row>
    <row r="36" spans="1:10" ht="14.4">
      <c r="B36" s="4" t="s">
        <v>43</v>
      </c>
      <c r="C36" s="2">
        <f>(C32-H32)^2/H32</f>
        <v>1.618705035971223E-2</v>
      </c>
      <c r="D36" s="2">
        <f t="shared" ref="C36:E37" si="12">(D32-I32)^2/I32</f>
        <v>0.13489208633093525</v>
      </c>
      <c r="E36" s="2">
        <f t="shared" si="12"/>
        <v>8.6330935251798566E-2</v>
      </c>
      <c r="F36" s="4"/>
      <c r="J36" s="4"/>
    </row>
    <row r="37" spans="1:10" ht="14.4">
      <c r="B37" s="4" t="s">
        <v>44</v>
      </c>
      <c r="C37" s="2">
        <f t="shared" si="12"/>
        <v>0.10131894484412469</v>
      </c>
      <c r="D37" s="2">
        <f t="shared" si="12"/>
        <v>0.21762589928057555</v>
      </c>
      <c r="E37" s="2">
        <f t="shared" si="12"/>
        <v>0.25899280575539568</v>
      </c>
      <c r="F37" s="4"/>
      <c r="J37" s="4"/>
    </row>
    <row r="38" spans="1:10" ht="14.4">
      <c r="B38" s="4" t="s">
        <v>45</v>
      </c>
      <c r="C38" s="2">
        <f>(C34-H34)^2/H34</f>
        <v>2.3980815347721821E-3</v>
      </c>
      <c r="D38" s="2">
        <f>(D34-I34)^2/I34</f>
        <v>7.1942446043165471E-3</v>
      </c>
      <c r="F38" s="4"/>
      <c r="J38" s="4"/>
    </row>
    <row r="39" spans="1:10" ht="16.8">
      <c r="C39" s="3" t="s">
        <v>26</v>
      </c>
      <c r="D39" s="2" t="s">
        <v>27</v>
      </c>
    </row>
    <row r="40" spans="1:10" ht="14.4">
      <c r="B40" s="4" t="s">
        <v>36</v>
      </c>
      <c r="C40" s="2">
        <f>E36+E37</f>
        <v>0.34532374100719426</v>
      </c>
      <c r="D40" s="5">
        <f>_xlfn.CHISQ.DIST.RT(C40,1)</f>
        <v>0.556772259020894</v>
      </c>
    </row>
    <row r="41" spans="1:10" ht="14.4">
      <c r="B41" s="2" t="s">
        <v>37</v>
      </c>
      <c r="C41" s="2">
        <f>C38+D38</f>
        <v>9.5923261390887284E-3</v>
      </c>
      <c r="D41" s="5">
        <f t="shared" ref="D41" si="13">_xlfn.CHISQ.DIST.RT(C41,1)</f>
        <v>0.92197960264715795</v>
      </c>
    </row>
    <row r="42" spans="1:10" ht="14.4">
      <c r="B42" s="2" t="s">
        <v>46</v>
      </c>
      <c r="C42" s="2">
        <f>SUM(C36:D37)</f>
        <v>0.47002398081534769</v>
      </c>
      <c r="D42" s="5">
        <f>_xlfn.CHISQ.DIST.RT(C42,3)</f>
        <v>0.92542589510361606</v>
      </c>
    </row>
    <row r="44" spans="1:10" ht="14.4">
      <c r="A44" s="1" t="s">
        <v>47</v>
      </c>
      <c r="C44" s="6" t="s">
        <v>48</v>
      </c>
      <c r="F44" s="6" t="s">
        <v>49</v>
      </c>
    </row>
    <row r="45" spans="1:10" ht="14.4">
      <c r="C45" s="6" t="s">
        <v>50</v>
      </c>
      <c r="D45" s="6" t="s">
        <v>51</v>
      </c>
      <c r="E45" s="6" t="s">
        <v>52</v>
      </c>
      <c r="F45" s="6" t="s">
        <v>53</v>
      </c>
      <c r="G45" s="6" t="s">
        <v>54</v>
      </c>
    </row>
    <row r="46" spans="1:10" ht="14.4">
      <c r="B46" s="2" t="s">
        <v>55</v>
      </c>
      <c r="C46" s="2">
        <v>1</v>
      </c>
      <c r="D46" s="2">
        <v>0</v>
      </c>
      <c r="E46" s="6">
        <v>0</v>
      </c>
      <c r="F46" s="2">
        <v>1</v>
      </c>
      <c r="G46" s="2">
        <v>0</v>
      </c>
    </row>
    <row r="47" spans="1:10" ht="14.4">
      <c r="B47" s="2" t="s">
        <v>56</v>
      </c>
      <c r="C47" s="2">
        <v>0</v>
      </c>
      <c r="D47" s="2">
        <v>0</v>
      </c>
      <c r="E47" s="6">
        <v>1</v>
      </c>
      <c r="F47" s="2">
        <v>0</v>
      </c>
      <c r="G47" s="2">
        <v>1</v>
      </c>
    </row>
    <row r="48" spans="1:10" ht="14.4">
      <c r="A48" s="7" t="s">
        <v>57</v>
      </c>
      <c r="C48" s="2">
        <v>0</v>
      </c>
      <c r="D48" s="2">
        <v>1</v>
      </c>
      <c r="E48" s="6">
        <v>0</v>
      </c>
      <c r="F48" s="2">
        <v>1</v>
      </c>
      <c r="G48" s="2">
        <v>0</v>
      </c>
    </row>
    <row r="49" spans="1:10" ht="14.4">
      <c r="A49" s="7" t="s">
        <v>58</v>
      </c>
      <c r="C49" s="2">
        <v>0</v>
      </c>
      <c r="D49" s="2">
        <v>0.5</v>
      </c>
      <c r="E49" s="2">
        <v>0.5</v>
      </c>
      <c r="F49" s="2">
        <v>0.5</v>
      </c>
      <c r="G49" s="2">
        <v>0.5</v>
      </c>
      <c r="H49" s="6" t="s">
        <v>59</v>
      </c>
    </row>
    <row r="50" spans="1:10" ht="14.4">
      <c r="A50" s="7" t="s">
        <v>60</v>
      </c>
      <c r="C50" s="2">
        <v>0.25</v>
      </c>
      <c r="D50" s="2">
        <v>0.5</v>
      </c>
      <c r="E50" s="6">
        <v>0.25</v>
      </c>
      <c r="F50" s="2">
        <v>0.75</v>
      </c>
      <c r="G50" s="2">
        <v>0.25</v>
      </c>
    </row>
    <row r="51" spans="1:10" ht="14.4">
      <c r="A51" s="7" t="s">
        <v>61</v>
      </c>
      <c r="C51" s="2">
        <f>0.25/0.75</f>
        <v>0.33333333333333331</v>
      </c>
    </row>
    <row r="52" spans="1:10">
      <c r="A52" s="7"/>
    </row>
    <row r="53" spans="1:10" ht="14.4">
      <c r="A53" s="1" t="s">
        <v>47</v>
      </c>
      <c r="C53" s="2" t="s">
        <v>62</v>
      </c>
      <c r="D53" s="2" t="s">
        <v>63</v>
      </c>
      <c r="E53" s="2" t="s">
        <v>64</v>
      </c>
      <c r="F53" s="2" t="s">
        <v>65</v>
      </c>
      <c r="G53" s="2" t="s">
        <v>37</v>
      </c>
    </row>
    <row r="54" spans="1:10" ht="14.4">
      <c r="B54" s="8" t="s">
        <v>66</v>
      </c>
      <c r="C54" s="2" t="s">
        <v>9</v>
      </c>
      <c r="E54" s="2">
        <v>1</v>
      </c>
      <c r="G54" s="2" t="s">
        <v>39</v>
      </c>
    </row>
    <row r="55" spans="1:10" ht="14.4">
      <c r="B55" s="8" t="s">
        <v>67</v>
      </c>
      <c r="C55" s="2" t="s">
        <v>68</v>
      </c>
      <c r="D55" s="2">
        <v>0.5</v>
      </c>
      <c r="E55" s="2">
        <v>0.5</v>
      </c>
      <c r="G55" s="2" t="s">
        <v>39</v>
      </c>
    </row>
    <row r="56" spans="1:10" ht="14.4">
      <c r="B56" s="8" t="s">
        <v>67</v>
      </c>
      <c r="C56" s="2" t="s">
        <v>69</v>
      </c>
      <c r="E56" s="2">
        <v>0.5</v>
      </c>
      <c r="F56" s="2">
        <v>0.5</v>
      </c>
      <c r="G56" s="2" t="s">
        <v>70</v>
      </c>
    </row>
    <row r="57" spans="1:10" ht="14.4">
      <c r="B57" s="8" t="s">
        <v>71</v>
      </c>
      <c r="C57" s="2" t="s">
        <v>10</v>
      </c>
      <c r="D57" s="2">
        <v>0.25</v>
      </c>
      <c r="E57" s="2">
        <v>0.5</v>
      </c>
      <c r="F57" s="2">
        <v>0.25</v>
      </c>
      <c r="G57" s="2" t="s">
        <v>72</v>
      </c>
    </row>
    <row r="58" spans="1:10">
      <c r="B58" s="8" t="s">
        <v>73</v>
      </c>
      <c r="C58" s="8" t="s">
        <v>1486</v>
      </c>
    </row>
    <row r="60" spans="1:10" ht="14.4">
      <c r="A60" s="1" t="s">
        <v>74</v>
      </c>
      <c r="F60" s="2" t="s">
        <v>75</v>
      </c>
      <c r="I60" s="2" t="s">
        <v>76</v>
      </c>
    </row>
    <row r="61" spans="1:10" ht="14.4">
      <c r="B61" s="6" t="s">
        <v>77</v>
      </c>
      <c r="C61" s="6" t="s">
        <v>78</v>
      </c>
      <c r="D61" s="6" t="s">
        <v>79</v>
      </c>
      <c r="E61" s="6" t="s">
        <v>78</v>
      </c>
      <c r="F61" s="6" t="s">
        <v>80</v>
      </c>
      <c r="G61" s="6" t="s">
        <v>78</v>
      </c>
      <c r="H61" s="6" t="s">
        <v>81</v>
      </c>
      <c r="I61" s="2" t="s">
        <v>82</v>
      </c>
      <c r="J61" s="6" t="s">
        <v>78</v>
      </c>
    </row>
    <row r="62" spans="1:10" ht="14.4">
      <c r="B62" s="2" t="s">
        <v>63</v>
      </c>
      <c r="C62" s="2">
        <v>0.25</v>
      </c>
      <c r="D62" s="2" t="s">
        <v>83</v>
      </c>
      <c r="E62" s="2">
        <v>0.25</v>
      </c>
      <c r="F62" s="2" t="s">
        <v>84</v>
      </c>
      <c r="G62" s="2">
        <f>C62*E62</f>
        <v>6.25E-2</v>
      </c>
      <c r="H62" s="6" t="s">
        <v>85</v>
      </c>
      <c r="I62" s="6" t="s">
        <v>85</v>
      </c>
      <c r="J62" s="2">
        <f>G62+G63+G65+G66</f>
        <v>0.5625</v>
      </c>
    </row>
    <row r="63" spans="1:10" ht="14.4">
      <c r="B63" s="2" t="s">
        <v>63</v>
      </c>
      <c r="C63" s="2">
        <v>0.25</v>
      </c>
      <c r="D63" s="2" t="s">
        <v>86</v>
      </c>
      <c r="E63" s="2">
        <v>0.5</v>
      </c>
      <c r="F63" s="2" t="s">
        <v>87</v>
      </c>
      <c r="G63" s="2">
        <f t="shared" ref="G63:G70" si="14">C63*E63</f>
        <v>0.125</v>
      </c>
      <c r="H63" s="6" t="s">
        <v>85</v>
      </c>
      <c r="I63" s="6" t="s">
        <v>88</v>
      </c>
      <c r="J63" s="2">
        <f>G64+G67</f>
        <v>0.1875</v>
      </c>
    </row>
    <row r="64" spans="1:10" ht="14.4">
      <c r="B64" s="2" t="s">
        <v>63</v>
      </c>
      <c r="C64" s="2">
        <v>0.25</v>
      </c>
      <c r="D64" s="2" t="s">
        <v>89</v>
      </c>
      <c r="E64" s="2">
        <v>0.25</v>
      </c>
      <c r="F64" s="2" t="s">
        <v>90</v>
      </c>
      <c r="G64" s="2">
        <f t="shared" si="14"/>
        <v>6.25E-2</v>
      </c>
      <c r="H64" s="6" t="s">
        <v>88</v>
      </c>
      <c r="I64" s="6" t="s">
        <v>91</v>
      </c>
      <c r="J64" s="2">
        <f>G68+G69</f>
        <v>0.1875</v>
      </c>
    </row>
    <row r="65" spans="1:13" ht="14.4">
      <c r="B65" s="2" t="s">
        <v>64</v>
      </c>
      <c r="C65" s="2">
        <v>0.5</v>
      </c>
      <c r="D65" s="2" t="s">
        <v>83</v>
      </c>
      <c r="E65" s="2">
        <v>0.25</v>
      </c>
      <c r="F65" s="2" t="s">
        <v>92</v>
      </c>
      <c r="G65" s="2">
        <f t="shared" si="14"/>
        <v>0.125</v>
      </c>
      <c r="H65" s="6" t="s">
        <v>85</v>
      </c>
      <c r="I65" s="6" t="s">
        <v>93</v>
      </c>
      <c r="J65" s="2">
        <f>G70</f>
        <v>6.25E-2</v>
      </c>
    </row>
    <row r="66" spans="1:13" ht="14.4">
      <c r="B66" s="2" t="s">
        <v>64</v>
      </c>
      <c r="C66" s="2">
        <v>0.5</v>
      </c>
      <c r="D66" s="2" t="s">
        <v>86</v>
      </c>
      <c r="E66" s="2">
        <v>0.5</v>
      </c>
      <c r="F66" s="2" t="s">
        <v>94</v>
      </c>
      <c r="G66" s="2">
        <f t="shared" si="14"/>
        <v>0.25</v>
      </c>
      <c r="H66" s="6" t="s">
        <v>85</v>
      </c>
      <c r="I66" s="2" t="s">
        <v>95</v>
      </c>
      <c r="J66" s="2">
        <f>SUM(J62:J65)</f>
        <v>1</v>
      </c>
    </row>
    <row r="67" spans="1:13" ht="14.4">
      <c r="B67" s="2" t="s">
        <v>64</v>
      </c>
      <c r="C67" s="2">
        <v>0.5</v>
      </c>
      <c r="D67" s="2" t="s">
        <v>89</v>
      </c>
      <c r="E67" s="2">
        <v>0.25</v>
      </c>
      <c r="F67" s="2" t="s">
        <v>96</v>
      </c>
      <c r="G67" s="2">
        <f t="shared" si="14"/>
        <v>0.125</v>
      </c>
      <c r="H67" s="6" t="s">
        <v>88</v>
      </c>
    </row>
    <row r="68" spans="1:13" ht="14.4">
      <c r="B68" s="2" t="s">
        <v>65</v>
      </c>
      <c r="C68" s="2">
        <v>0.25</v>
      </c>
      <c r="D68" s="2" t="s">
        <v>83</v>
      </c>
      <c r="E68" s="2">
        <v>0.25</v>
      </c>
      <c r="F68" s="2" t="s">
        <v>97</v>
      </c>
      <c r="G68" s="2">
        <f t="shared" si="14"/>
        <v>6.25E-2</v>
      </c>
      <c r="H68" s="6" t="s">
        <v>91</v>
      </c>
    </row>
    <row r="69" spans="1:13" ht="14.4">
      <c r="B69" s="2" t="s">
        <v>65</v>
      </c>
      <c r="C69" s="2">
        <v>0.25</v>
      </c>
      <c r="D69" s="2" t="s">
        <v>86</v>
      </c>
      <c r="E69" s="2">
        <v>0.5</v>
      </c>
      <c r="F69" s="2" t="s">
        <v>98</v>
      </c>
      <c r="G69" s="2">
        <f t="shared" si="14"/>
        <v>0.125</v>
      </c>
      <c r="H69" s="6" t="s">
        <v>91</v>
      </c>
    </row>
    <row r="70" spans="1:13" ht="14.4">
      <c r="B70" s="2" t="s">
        <v>65</v>
      </c>
      <c r="C70" s="2">
        <v>0.25</v>
      </c>
      <c r="D70" s="2" t="s">
        <v>89</v>
      </c>
      <c r="E70" s="2">
        <v>0.25</v>
      </c>
      <c r="F70" s="2" t="s">
        <v>99</v>
      </c>
      <c r="G70" s="2">
        <f t="shared" si="14"/>
        <v>6.25E-2</v>
      </c>
      <c r="H70" s="6" t="s">
        <v>93</v>
      </c>
      <c r="J70" s="2" t="s">
        <v>100</v>
      </c>
    </row>
    <row r="72" spans="1:13" ht="14.4">
      <c r="A72" s="1" t="s">
        <v>74</v>
      </c>
      <c r="C72" s="2" t="s">
        <v>101</v>
      </c>
      <c r="D72" s="2" t="s">
        <v>83</v>
      </c>
      <c r="E72" s="2" t="s">
        <v>86</v>
      </c>
      <c r="F72" s="2" t="s">
        <v>89</v>
      </c>
      <c r="H72" s="2" t="s">
        <v>101</v>
      </c>
      <c r="I72" s="2" t="s">
        <v>83</v>
      </c>
      <c r="J72" s="2" t="s">
        <v>86</v>
      </c>
      <c r="K72" s="2" t="s">
        <v>89</v>
      </c>
      <c r="M72" s="2" t="s">
        <v>102</v>
      </c>
    </row>
    <row r="73" spans="1:13" ht="14.4">
      <c r="A73" s="1"/>
      <c r="B73" s="2" t="s">
        <v>103</v>
      </c>
      <c r="C73" s="2" t="s">
        <v>104</v>
      </c>
      <c r="D73" s="2">
        <v>0.25</v>
      </c>
      <c r="E73" s="2">
        <v>0.5</v>
      </c>
      <c r="F73" s="2">
        <v>0.25</v>
      </c>
      <c r="G73" s="2" t="s">
        <v>103</v>
      </c>
      <c r="H73" s="2" t="s">
        <v>105</v>
      </c>
      <c r="I73" s="2" t="s">
        <v>106</v>
      </c>
      <c r="J73" s="2" t="s">
        <v>106</v>
      </c>
      <c r="K73" s="2" t="s">
        <v>107</v>
      </c>
      <c r="L73" s="2" t="s">
        <v>108</v>
      </c>
      <c r="M73" s="2">
        <f>SUM(D74:E75)</f>
        <v>0.5625</v>
      </c>
    </row>
    <row r="74" spans="1:13" ht="14.4">
      <c r="B74" s="2" t="s">
        <v>63</v>
      </c>
      <c r="C74" s="2">
        <v>0.25</v>
      </c>
      <c r="D74" s="2">
        <f>$C74*D$73</f>
        <v>6.25E-2</v>
      </c>
      <c r="E74" s="2">
        <f t="shared" ref="E74:F76" si="15">$C74*E$73</f>
        <v>0.125</v>
      </c>
      <c r="F74" s="2">
        <f t="shared" si="15"/>
        <v>6.25E-2</v>
      </c>
      <c r="G74" s="2" t="s">
        <v>63</v>
      </c>
      <c r="H74" s="2" t="s">
        <v>109</v>
      </c>
      <c r="I74" s="2" t="s">
        <v>108</v>
      </c>
      <c r="J74" s="2" t="s">
        <v>108</v>
      </c>
      <c r="K74" s="2" t="s">
        <v>110</v>
      </c>
      <c r="L74" s="2" t="s">
        <v>110</v>
      </c>
      <c r="M74" s="2">
        <f>F74+F75</f>
        <v>0.1875</v>
      </c>
    </row>
    <row r="75" spans="1:13" ht="14.4">
      <c r="B75" s="2" t="s">
        <v>64</v>
      </c>
      <c r="C75" s="2">
        <v>0.5</v>
      </c>
      <c r="D75" s="2">
        <f t="shared" ref="D75:D76" si="16">$C75*D$73</f>
        <v>0.125</v>
      </c>
      <c r="E75" s="2">
        <f t="shared" si="15"/>
        <v>0.25</v>
      </c>
      <c r="F75" s="2">
        <f t="shared" si="15"/>
        <v>0.125</v>
      </c>
      <c r="G75" s="2" t="s">
        <v>64</v>
      </c>
      <c r="H75" s="2" t="s">
        <v>109</v>
      </c>
      <c r="I75" s="2" t="s">
        <v>108</v>
      </c>
      <c r="J75" s="2" t="s">
        <v>108</v>
      </c>
      <c r="K75" s="2" t="s">
        <v>110</v>
      </c>
      <c r="L75" s="2" t="s">
        <v>111</v>
      </c>
      <c r="M75" s="2">
        <f>D76+E76</f>
        <v>0.1875</v>
      </c>
    </row>
    <row r="76" spans="1:13" ht="14.4">
      <c r="B76" s="2" t="s">
        <v>65</v>
      </c>
      <c r="C76" s="2">
        <v>0.25</v>
      </c>
      <c r="D76" s="2">
        <f t="shared" si="16"/>
        <v>6.25E-2</v>
      </c>
      <c r="E76" s="2">
        <f t="shared" si="15"/>
        <v>0.125</v>
      </c>
      <c r="F76" s="2">
        <f t="shared" si="15"/>
        <v>6.25E-2</v>
      </c>
      <c r="G76" s="2" t="s">
        <v>65</v>
      </c>
      <c r="H76" s="2" t="s">
        <v>112</v>
      </c>
      <c r="I76" s="2" t="s">
        <v>111</v>
      </c>
      <c r="J76" s="2" t="s">
        <v>111</v>
      </c>
      <c r="K76" s="2" t="s">
        <v>113</v>
      </c>
      <c r="L76" s="2" t="s">
        <v>113</v>
      </c>
      <c r="M76" s="2">
        <f>F76</f>
        <v>6.25E-2</v>
      </c>
    </row>
    <row r="78" spans="1:13" ht="14.4">
      <c r="A78" s="1" t="s">
        <v>114</v>
      </c>
      <c r="G78" s="2" t="s">
        <v>115</v>
      </c>
      <c r="J78" s="2" t="s">
        <v>116</v>
      </c>
    </row>
    <row r="79" spans="1:13">
      <c r="B79" s="2" t="s">
        <v>119</v>
      </c>
      <c r="C79" s="2" t="s">
        <v>120</v>
      </c>
      <c r="D79" s="2" t="s">
        <v>121</v>
      </c>
      <c r="E79" s="2" t="s">
        <v>122</v>
      </c>
      <c r="F79" s="2" t="s">
        <v>123</v>
      </c>
      <c r="G79" s="2" t="s">
        <v>124</v>
      </c>
      <c r="H79" s="2" t="s">
        <v>125</v>
      </c>
      <c r="J79" s="2" t="s">
        <v>126</v>
      </c>
      <c r="K79" s="2" t="s">
        <v>127</v>
      </c>
      <c r="L79" s="2" t="s">
        <v>128</v>
      </c>
    </row>
    <row r="80" spans="1:13" ht="14.4">
      <c r="B80" s="2" t="s">
        <v>129</v>
      </c>
      <c r="C80" s="2">
        <v>475</v>
      </c>
      <c r="D80" s="2">
        <v>89</v>
      </c>
      <c r="E80" s="2">
        <v>5</v>
      </c>
      <c r="F80" s="2">
        <v>569</v>
      </c>
      <c r="G80" s="5">
        <f>(C80+D80/2)/F80</f>
        <v>0.91300527240773288</v>
      </c>
      <c r="H80" s="5">
        <f>1-G80</f>
        <v>8.6994727592267118E-2</v>
      </c>
      <c r="J80" s="5">
        <f>C80/F80</f>
        <v>0.83479789103690683</v>
      </c>
      <c r="K80" s="5">
        <f>D80/F80</f>
        <v>0.15641476274165203</v>
      </c>
      <c r="L80" s="5">
        <f>E80/F80</f>
        <v>8.7873462214411256E-3</v>
      </c>
    </row>
    <row r="81" spans="1:19" ht="14.4">
      <c r="B81" s="2" t="s">
        <v>130</v>
      </c>
      <c r="C81" s="2">
        <v>233</v>
      </c>
      <c r="D81" s="2">
        <v>385</v>
      </c>
      <c r="E81" s="2">
        <v>129</v>
      </c>
      <c r="F81" s="2">
        <v>747</v>
      </c>
      <c r="G81" s="5">
        <f>(C81+D81/2)/F81</f>
        <v>0.56961178045515393</v>
      </c>
      <c r="H81" s="5">
        <f>1-G81</f>
        <v>0.43038821954484607</v>
      </c>
      <c r="J81" s="5">
        <f>C81/F81</f>
        <v>0.31191432396251673</v>
      </c>
      <c r="K81" s="5">
        <f>D81/F81</f>
        <v>0.5153949129852744</v>
      </c>
      <c r="L81" s="5">
        <f>E81/F81</f>
        <v>0.17269076305220885</v>
      </c>
    </row>
    <row r="82" spans="1:19" ht="14.4">
      <c r="B82" s="2" t="s">
        <v>131</v>
      </c>
      <c r="C82" s="2">
        <f>C80+C81</f>
        <v>708</v>
      </c>
      <c r="D82" s="2">
        <f t="shared" ref="D82:E82" si="17">D80+D81</f>
        <v>474</v>
      </c>
      <c r="E82" s="2">
        <f t="shared" si="17"/>
        <v>134</v>
      </c>
      <c r="F82" s="2">
        <f>F80+F81</f>
        <v>1316</v>
      </c>
      <c r="G82" s="5">
        <f>(C82+D82/2)/F82</f>
        <v>0.71808510638297873</v>
      </c>
      <c r="H82" s="5">
        <f>1-G82</f>
        <v>0.28191489361702127</v>
      </c>
      <c r="J82" s="5">
        <f>C82/F82</f>
        <v>0.53799392097264442</v>
      </c>
      <c r="K82" s="5">
        <f>D82/F82</f>
        <v>0.36018237082066867</v>
      </c>
      <c r="L82" s="5">
        <f>E82/F82</f>
        <v>0.10182370820668693</v>
      </c>
    </row>
    <row r="83" spans="1:19">
      <c r="S83" s="5"/>
    </row>
    <row r="84" spans="1:19" ht="16.8">
      <c r="C84" s="2" t="s">
        <v>117</v>
      </c>
      <c r="G84" s="2" t="s">
        <v>118</v>
      </c>
      <c r="K84" s="3" t="s">
        <v>26</v>
      </c>
      <c r="L84" s="2" t="s">
        <v>27</v>
      </c>
      <c r="S84" s="5"/>
    </row>
    <row r="85" spans="1:19">
      <c r="C85" s="2" t="s">
        <v>126</v>
      </c>
      <c r="D85" s="2" t="s">
        <v>127</v>
      </c>
      <c r="E85" s="2" t="s">
        <v>128</v>
      </c>
      <c r="G85" s="2" t="s">
        <v>120</v>
      </c>
      <c r="H85" s="2" t="s">
        <v>121</v>
      </c>
      <c r="I85" s="2" t="s">
        <v>122</v>
      </c>
      <c r="S85" s="5"/>
    </row>
    <row r="86" spans="1:19" ht="14.4">
      <c r="B86" s="2" t="s">
        <v>129</v>
      </c>
      <c r="C86" s="5">
        <f>G80^2</f>
        <v>0.83357862744431854</v>
      </c>
      <c r="D86" s="5">
        <f>2*G80*H80</f>
        <v>0.15885328992682871</v>
      </c>
      <c r="E86" s="5">
        <f>H80^2</f>
        <v>7.5680826288527618E-3</v>
      </c>
      <c r="G86" s="54">
        <f>C86*F80</f>
        <v>474.30623901581725</v>
      </c>
      <c r="H86" s="54">
        <f>D86*F80</f>
        <v>90.387521968365533</v>
      </c>
      <c r="I86" s="54">
        <f>E86*F80</f>
        <v>4.3062390158172219</v>
      </c>
      <c r="K86" s="5">
        <f>(C80-G86)^2/G86+(D80-H86)^2/H86+(E80-I86)^2/I86</f>
        <v>0.13408340868117966</v>
      </c>
      <c r="L86" s="5">
        <f>_xlfn.CHISQ.DIST.RT(K86,1)</f>
        <v>0.71423523130953681</v>
      </c>
      <c r="S86" s="5"/>
    </row>
    <row r="87" spans="1:19" ht="14.4">
      <c r="B87" s="2" t="s">
        <v>130</v>
      </c>
      <c r="C87" s="5">
        <f>G81^2</f>
        <v>0.32445758043329048</v>
      </c>
      <c r="D87" s="5">
        <f>2*G81*H81</f>
        <v>0.49030840004372689</v>
      </c>
      <c r="E87" s="5">
        <f>H81^2</f>
        <v>0.18523401952298263</v>
      </c>
      <c r="G87" s="54">
        <f>C87*F81</f>
        <v>242.36981258366799</v>
      </c>
      <c r="H87" s="54">
        <f>D87*F81</f>
        <v>366.26037483266401</v>
      </c>
      <c r="I87" s="54">
        <f>E87*F81</f>
        <v>138.36981258366802</v>
      </c>
      <c r="K87" s="5">
        <f>(C81-G87)^2/G87+(D81-H87)^2/H87+(E81-I87)^2/I87</f>
        <v>1.9555212083286975</v>
      </c>
      <c r="L87" s="5">
        <f>_xlfn.CHISQ.DIST.RT(K87,1)</f>
        <v>0.1619931282255769</v>
      </c>
      <c r="S87" s="5"/>
    </row>
    <row r="88" spans="1:19" ht="14.4">
      <c r="B88" s="2" t="s">
        <v>131</v>
      </c>
      <c r="C88" s="5">
        <f>G82^2</f>
        <v>0.51564622000905391</v>
      </c>
      <c r="D88" s="5">
        <f>2*G82*H82</f>
        <v>0.4048777727478497</v>
      </c>
      <c r="E88" s="5">
        <f>H82^2</f>
        <v>7.9476007243096419E-2</v>
      </c>
      <c r="G88" s="54">
        <f>C88*F82</f>
        <v>678.590425531915</v>
      </c>
      <c r="H88" s="54">
        <f>D88*F82</f>
        <v>532.81914893617022</v>
      </c>
      <c r="I88" s="54">
        <f>E88*F82</f>
        <v>104.59042553191489</v>
      </c>
      <c r="K88" s="5">
        <f>(C82-G88)^2/G88+(D82-H88)^2/H88+(E82-I88)^2/I88</f>
        <v>16.037390825533695</v>
      </c>
      <c r="L88" s="5">
        <f>_xlfn.CHISQ.DIST.RT(K88,1)</f>
        <v>6.2103820498911393E-5</v>
      </c>
      <c r="S88" s="5"/>
    </row>
    <row r="89" spans="1:19">
      <c r="S89" s="5"/>
    </row>
    <row r="90" spans="1:19" ht="14.4">
      <c r="B90" s="2" t="s">
        <v>132</v>
      </c>
    </row>
    <row r="92" spans="1:19" ht="14.4">
      <c r="A92" s="1" t="s">
        <v>133</v>
      </c>
      <c r="I92" s="2" t="s">
        <v>115</v>
      </c>
      <c r="L92" s="2" t="s">
        <v>117</v>
      </c>
    </row>
    <row r="93" spans="1:19">
      <c r="B93" s="2" t="s">
        <v>134</v>
      </c>
      <c r="C93" s="2" t="s">
        <v>135</v>
      </c>
      <c r="D93" s="2" t="s">
        <v>136</v>
      </c>
      <c r="E93" s="2" t="s">
        <v>137</v>
      </c>
      <c r="F93" s="2" t="s">
        <v>138</v>
      </c>
      <c r="G93" s="2" t="s">
        <v>139</v>
      </c>
      <c r="H93" s="2" t="s">
        <v>140</v>
      </c>
      <c r="I93" s="2" t="s">
        <v>141</v>
      </c>
      <c r="J93" s="2" t="s">
        <v>142</v>
      </c>
      <c r="K93" s="8" t="s">
        <v>143</v>
      </c>
      <c r="L93" s="2" t="s">
        <v>135</v>
      </c>
      <c r="M93" s="2" t="s">
        <v>136</v>
      </c>
      <c r="N93" s="2" t="s">
        <v>137</v>
      </c>
      <c r="O93" s="2" t="s">
        <v>138</v>
      </c>
      <c r="P93" s="2" t="s">
        <v>139</v>
      </c>
      <c r="Q93" s="2" t="s">
        <v>140</v>
      </c>
    </row>
    <row r="94" spans="1:19" ht="14.4">
      <c r="B94" s="2" t="s">
        <v>144</v>
      </c>
      <c r="C94" s="2">
        <f>C96/178</f>
        <v>9.5505617977528087E-2</v>
      </c>
      <c r="D94" s="2">
        <f t="shared" ref="D94:H94" si="18">D96/178</f>
        <v>0.48314606741573035</v>
      </c>
      <c r="E94" s="2">
        <f t="shared" si="18"/>
        <v>0.34269662921348315</v>
      </c>
      <c r="F94" s="2">
        <f t="shared" si="18"/>
        <v>2.8089887640449437E-2</v>
      </c>
      <c r="G94" s="2">
        <f t="shared" si="18"/>
        <v>5.0561797752808987E-2</v>
      </c>
      <c r="H94" s="2">
        <f t="shared" si="18"/>
        <v>0</v>
      </c>
      <c r="I94" s="5">
        <f>C94+D94/2+F94/2</f>
        <v>0.35112359550561795</v>
      </c>
      <c r="J94" s="5">
        <f>D94/2+E94+G94/2</f>
        <v>0.6095505617977528</v>
      </c>
      <c r="K94" s="5">
        <f>F94/2+G94/2+H94</f>
        <v>3.9325842696629212E-2</v>
      </c>
      <c r="L94" s="5">
        <f>I94^2</f>
        <v>0.12328777932079281</v>
      </c>
      <c r="M94" s="5">
        <f>2*I94*J94</f>
        <v>0.42805516980179265</v>
      </c>
      <c r="N94" s="5">
        <f>J94^2</f>
        <v>0.37155188738795608</v>
      </c>
      <c r="O94" s="5">
        <f>2*I94*K94</f>
        <v>2.7616462567857592E-2</v>
      </c>
      <c r="P94" s="5">
        <f>2*J94*K94</f>
        <v>4.7942179017800783E-2</v>
      </c>
      <c r="Q94" s="5">
        <f>K94^2</f>
        <v>1.5465219038000252E-3</v>
      </c>
      <c r="R94" s="55">
        <f>1-(1-Q94)^178</f>
        <v>0.24080299950264028</v>
      </c>
    </row>
    <row r="95" spans="1:19">
      <c r="B95" s="2" t="s">
        <v>134</v>
      </c>
      <c r="C95" s="2" t="s">
        <v>135</v>
      </c>
      <c r="D95" s="2" t="s">
        <v>136</v>
      </c>
      <c r="E95" s="2" t="s">
        <v>137</v>
      </c>
      <c r="F95" s="2" t="s">
        <v>138</v>
      </c>
      <c r="G95" s="2" t="s">
        <v>139</v>
      </c>
      <c r="H95" s="2" t="s">
        <v>140</v>
      </c>
      <c r="I95" s="5"/>
      <c r="J95" s="5"/>
      <c r="K95" s="5"/>
      <c r="L95" s="5"/>
      <c r="M95" s="5"/>
      <c r="N95" s="5"/>
      <c r="O95" s="5"/>
      <c r="P95" s="5"/>
      <c r="Q95" s="5"/>
      <c r="R95" s="55"/>
    </row>
    <row r="96" spans="1:19">
      <c r="B96" s="2" t="s">
        <v>145</v>
      </c>
      <c r="C96" s="2">
        <v>17</v>
      </c>
      <c r="D96" s="2">
        <v>86</v>
      </c>
      <c r="E96" s="2">
        <v>61</v>
      </c>
      <c r="F96" s="2">
        <v>5</v>
      </c>
      <c r="G96" s="2">
        <v>9</v>
      </c>
      <c r="H96" s="2">
        <v>0</v>
      </c>
    </row>
    <row r="97" spans="1:8">
      <c r="B97" s="8" t="s">
        <v>146</v>
      </c>
      <c r="C97" s="54">
        <f t="shared" ref="C97:H97" si="19">178*L94</f>
        <v>21.94522471910112</v>
      </c>
      <c r="D97" s="54">
        <f t="shared" si="19"/>
        <v>76.19382022471909</v>
      </c>
      <c r="E97" s="54">
        <f t="shared" si="19"/>
        <v>66.136235955056179</v>
      </c>
      <c r="F97" s="54">
        <f t="shared" si="19"/>
        <v>4.9157303370786511</v>
      </c>
      <c r="G97" s="54">
        <f t="shared" si="19"/>
        <v>8.5337078651685392</v>
      </c>
      <c r="H97" s="54">
        <f t="shared" si="19"/>
        <v>0.2752808988764045</v>
      </c>
    </row>
    <row r="98" spans="1:8" ht="16.8">
      <c r="B98" s="3" t="s">
        <v>1488</v>
      </c>
      <c r="C98" s="5">
        <f>(C96-C97)^2/C97</f>
        <v>1.114376719101122</v>
      </c>
      <c r="D98" s="5">
        <f t="shared" ref="D98:H98" si="20">(D96-D97)^2/D97</f>
        <v>1.2620598560555096</v>
      </c>
      <c r="E98" s="5">
        <f t="shared" si="20"/>
        <v>0.39888752973391761</v>
      </c>
      <c r="F98" s="5">
        <f t="shared" si="20"/>
        <v>1.4446227929374184E-3</v>
      </c>
      <c r="G98" s="5">
        <f t="shared" si="20"/>
        <v>2.5478767077690097E-2</v>
      </c>
      <c r="H98" s="5">
        <f t="shared" si="20"/>
        <v>0.2752808988764045</v>
      </c>
    </row>
    <row r="99" spans="1:8" ht="16.8">
      <c r="B99" s="3" t="s">
        <v>26</v>
      </c>
      <c r="C99" s="5">
        <f>SUM(C98:H98)</f>
        <v>3.0775283936375808</v>
      </c>
      <c r="D99" s="5"/>
      <c r="E99" s="5"/>
      <c r="F99" s="5"/>
      <c r="G99" s="5"/>
      <c r="H99" s="5"/>
    </row>
    <row r="100" spans="1:8" ht="14.4">
      <c r="B100" s="2" t="s">
        <v>27</v>
      </c>
      <c r="C100" s="5">
        <f>_xlfn.CHISQ.DIST.RT(C99,3)</f>
        <v>0.37982559922986853</v>
      </c>
      <c r="D100" s="5"/>
      <c r="E100" s="5"/>
      <c r="F100" s="5" t="s">
        <v>1487</v>
      </c>
      <c r="G100" s="5"/>
      <c r="H100" s="5"/>
    </row>
    <row r="102" spans="1:8" ht="14.4">
      <c r="A102" s="1" t="s">
        <v>147</v>
      </c>
      <c r="B102" s="2" t="s">
        <v>148</v>
      </c>
    </row>
    <row r="103" spans="1:8" ht="16.8">
      <c r="B103" s="2" t="s">
        <v>151</v>
      </c>
      <c r="C103" s="2" t="s">
        <v>152</v>
      </c>
      <c r="D103" s="2" t="s">
        <v>153</v>
      </c>
    </row>
    <row r="104" spans="1:8">
      <c r="B104" s="2">
        <v>0.7</v>
      </c>
      <c r="C104" s="2">
        <v>0.2</v>
      </c>
      <c r="D104" s="2">
        <v>0.1</v>
      </c>
    </row>
    <row r="105" spans="1:8" ht="14.4">
      <c r="B105" s="2" t="s">
        <v>149</v>
      </c>
    </row>
    <row r="106" spans="1:8" ht="16.8">
      <c r="B106" s="2" t="s">
        <v>154</v>
      </c>
      <c r="C106" s="2" t="s">
        <v>155</v>
      </c>
      <c r="D106" s="2" t="s">
        <v>156</v>
      </c>
      <c r="E106" s="2" t="s">
        <v>157</v>
      </c>
      <c r="F106" s="2" t="s">
        <v>158</v>
      </c>
      <c r="G106" s="2" t="s">
        <v>159</v>
      </c>
      <c r="H106" s="2" t="s">
        <v>1990</v>
      </c>
    </row>
    <row r="107" spans="1:8">
      <c r="B107" s="2">
        <f>B104^2</f>
        <v>0.48999999999999994</v>
      </c>
      <c r="C107" s="2">
        <f>2*B104*C104</f>
        <v>0.27999999999999997</v>
      </c>
      <c r="D107" s="2">
        <f>2*B104*D104</f>
        <v>0.13999999999999999</v>
      </c>
      <c r="E107" s="2">
        <f>C104^2</f>
        <v>4.0000000000000008E-2</v>
      </c>
      <c r="F107" s="2">
        <f>2*C104*D104</f>
        <v>4.0000000000000008E-2</v>
      </c>
      <c r="G107" s="2">
        <f>D104^2</f>
        <v>1.0000000000000002E-2</v>
      </c>
      <c r="H107" s="2">
        <f>SUM(B107:G107)</f>
        <v>1</v>
      </c>
    </row>
    <row r="108" spans="1:8" ht="14.4">
      <c r="B108" s="2" t="s">
        <v>150</v>
      </c>
    </row>
    <row r="109" spans="1:8">
      <c r="B109" s="2" t="s">
        <v>160</v>
      </c>
      <c r="C109" s="2" t="s">
        <v>161</v>
      </c>
      <c r="D109" s="2" t="s">
        <v>162</v>
      </c>
      <c r="E109" s="2" t="s">
        <v>145</v>
      </c>
    </row>
    <row r="110" spans="1:8">
      <c r="B110" s="2">
        <f>B107+D107</f>
        <v>0.62999999999999989</v>
      </c>
      <c r="C110" s="2">
        <f>E107+F107</f>
        <v>8.0000000000000016E-2</v>
      </c>
      <c r="D110" s="2">
        <f>C107</f>
        <v>0.27999999999999997</v>
      </c>
      <c r="E110" s="2">
        <f>G107</f>
        <v>1.0000000000000002E-2</v>
      </c>
      <c r="H110" s="2">
        <f>SUM(B110:G110)</f>
        <v>1</v>
      </c>
    </row>
    <row r="112" spans="1:8" ht="14.4">
      <c r="A112" s="1" t="s">
        <v>163</v>
      </c>
    </row>
    <row r="113" spans="2:17" ht="14.4">
      <c r="B113" s="2" t="s">
        <v>119</v>
      </c>
      <c r="C113" s="2" t="s">
        <v>164</v>
      </c>
      <c r="D113" s="2" t="s">
        <v>165</v>
      </c>
      <c r="E113" s="2" t="s">
        <v>166</v>
      </c>
      <c r="F113" s="2" t="s">
        <v>167</v>
      </c>
      <c r="G113" s="2" t="s">
        <v>168</v>
      </c>
    </row>
    <row r="114" spans="2:17">
      <c r="B114" s="2" t="s">
        <v>169</v>
      </c>
      <c r="C114" s="2">
        <v>2162</v>
      </c>
      <c r="D114" s="2">
        <v>738</v>
      </c>
      <c r="E114" s="2">
        <v>228</v>
      </c>
      <c r="F114" s="2">
        <v>2876</v>
      </c>
      <c r="G114" s="2">
        <f>SUM(C114:F114)</f>
        <v>6004</v>
      </c>
    </row>
    <row r="115" spans="2:17" ht="14.4">
      <c r="C115" s="2" t="s">
        <v>148</v>
      </c>
      <c r="F115" s="2" t="s">
        <v>149</v>
      </c>
      <c r="L115" s="2" t="s">
        <v>170</v>
      </c>
      <c r="N115" s="2" t="s">
        <v>171</v>
      </c>
      <c r="P115" s="2" t="s">
        <v>172</v>
      </c>
      <c r="Q115" s="2" t="s">
        <v>173</v>
      </c>
    </row>
    <row r="116" spans="2:17" ht="16.8">
      <c r="B116" s="2" t="s">
        <v>174</v>
      </c>
      <c r="C116" s="2" t="s">
        <v>151</v>
      </c>
      <c r="D116" s="2" t="s">
        <v>152</v>
      </c>
      <c r="E116" s="2" t="s">
        <v>153</v>
      </c>
      <c r="F116" s="2" t="s">
        <v>154</v>
      </c>
      <c r="G116" s="2" t="s">
        <v>155</v>
      </c>
      <c r="H116" s="2" t="s">
        <v>156</v>
      </c>
      <c r="I116" s="2" t="s">
        <v>157</v>
      </c>
      <c r="J116" s="2" t="s">
        <v>158</v>
      </c>
      <c r="K116" s="2" t="s">
        <v>159</v>
      </c>
      <c r="L116" s="2" t="s">
        <v>154</v>
      </c>
      <c r="M116" s="2" t="s">
        <v>156</v>
      </c>
      <c r="N116" s="2" t="s">
        <v>157</v>
      </c>
      <c r="O116" s="2" t="s">
        <v>158</v>
      </c>
      <c r="P116" s="2" t="s">
        <v>155</v>
      </c>
      <c r="Q116" s="2" t="s">
        <v>159</v>
      </c>
    </row>
    <row r="117" spans="2:17">
      <c r="B117" s="2">
        <v>1</v>
      </c>
      <c r="C117" s="2">
        <v>0.5</v>
      </c>
      <c r="D117" s="2">
        <v>0.3</v>
      </c>
      <c r="E117" s="2">
        <f>1-C117-D117</f>
        <v>0.2</v>
      </c>
      <c r="F117" s="2">
        <f>C117^2</f>
        <v>0.25</v>
      </c>
      <c r="G117" s="2">
        <f>2*C117*D117</f>
        <v>0.3</v>
      </c>
      <c r="H117" s="2">
        <f>2*C117*E117</f>
        <v>0.2</v>
      </c>
      <c r="I117" s="2">
        <f>D117^2</f>
        <v>0.09</v>
      </c>
      <c r="J117" s="2">
        <f>2*D117*E117</f>
        <v>0.12</v>
      </c>
      <c r="K117" s="2">
        <f>E117^2</f>
        <v>4.0000000000000008E-2</v>
      </c>
      <c r="L117" s="54">
        <f>$C$114*F117/(F117+H117)</f>
        <v>1201.1111111111111</v>
      </c>
      <c r="M117" s="54">
        <f>$C$114*H117/(F117+H117)</f>
        <v>960.88888888888891</v>
      </c>
      <c r="N117" s="54">
        <f>$D$114*I117/(I117+J117)</f>
        <v>316.28571428571428</v>
      </c>
      <c r="O117" s="54">
        <f>$D$114*J117/(I117+J117)</f>
        <v>421.71428571428572</v>
      </c>
      <c r="P117" s="2">
        <f>$E$114</f>
        <v>228</v>
      </c>
      <c r="Q117" s="2">
        <f>$F$114</f>
        <v>2876</v>
      </c>
    </row>
    <row r="118" spans="2:17">
      <c r="B118" s="2">
        <v>2</v>
      </c>
      <c r="C118" s="5">
        <f>(L117+M117/2+P117/2)/$G$114</f>
        <v>0.29905988600192468</v>
      </c>
      <c r="D118" s="5">
        <f>(N117+O117/2+P117/2)/$G$114</f>
        <v>0.10678595222232797</v>
      </c>
      <c r="E118" s="5">
        <f>(M117/2+O117/2+Q117)/$G$114</f>
        <v>0.59415416177574742</v>
      </c>
      <c r="F118" s="5">
        <f t="shared" ref="F118:F121" si="21">C118^2</f>
        <v>8.9436815415484192E-2</v>
      </c>
      <c r="G118" s="5">
        <f t="shared" ref="G118:G121" si="22">2*C118*D118</f>
        <v>6.3870789396432759E-2</v>
      </c>
      <c r="H118" s="5">
        <f t="shared" ref="H118:H121" si="23">2*C118*E118</f>
        <v>0.3553753517764483</v>
      </c>
      <c r="I118" s="5">
        <f t="shared" ref="I118:I121" si="24">D118^2</f>
        <v>1.140323959202931E-2</v>
      </c>
      <c r="J118" s="5">
        <f t="shared" ref="J118:J121" si="25">2*D118*E118</f>
        <v>0.12689463586416458</v>
      </c>
      <c r="K118" s="5">
        <f t="shared" ref="K118:K121" si="26">E118^2</f>
        <v>0.35301916795544103</v>
      </c>
      <c r="L118" s="54">
        <f t="shared" ref="L118:L121" si="27">$C$114*F118/(F118+H118)</f>
        <v>434.70572342694629</v>
      </c>
      <c r="M118" s="54">
        <f t="shared" ref="M118:M121" si="28">$C$114*H118/(F118+H118)</f>
        <v>1727.2942765730536</v>
      </c>
      <c r="N118" s="54">
        <f t="shared" ref="N118:N121" si="29">$D$114*I118/(I118+J118)</f>
        <v>60.851193781232638</v>
      </c>
      <c r="O118" s="54">
        <f t="shared" ref="O118:O121" si="30">$D$114*J118/(I118+J118)</f>
        <v>677.1488062187675</v>
      </c>
      <c r="P118" s="2">
        <f t="shared" ref="P118:P121" si="31">$E$114</f>
        <v>228</v>
      </c>
      <c r="Q118" s="2">
        <f t="shared" ref="Q118:Q121" si="32">$F$114</f>
        <v>2876</v>
      </c>
    </row>
    <row r="119" spans="2:17">
      <c r="B119" s="2">
        <v>3</v>
      </c>
      <c r="C119" s="5">
        <f t="shared" ref="C119:C121" si="33">(L118+M118/2+P118/2)/$G$114</f>
        <v>0.23523532007219736</v>
      </c>
      <c r="D119" s="5">
        <f t="shared" ref="D119:D121" si="34">(N118+O118/2+P118/2)/$G$114</f>
        <v>8.551392353274756E-2</v>
      </c>
      <c r="E119" s="5">
        <f t="shared" ref="E119:E121" si="35">(M118/2+O118/2+Q118)/$G$114</f>
        <v>0.67925075639505506</v>
      </c>
      <c r="F119" s="5">
        <f t="shared" si="21"/>
        <v>5.5335655809469135E-2</v>
      </c>
      <c r="G119" s="5">
        <f t="shared" si="22"/>
        <v>4.0231790345710561E-2</v>
      </c>
      <c r="H119" s="5">
        <f t="shared" si="23"/>
        <v>0.31956753817974587</v>
      </c>
      <c r="I119" s="5">
        <f t="shared" si="24"/>
        <v>7.3126311179645973E-3</v>
      </c>
      <c r="J119" s="5">
        <f t="shared" si="25"/>
        <v>0.11617079448385535</v>
      </c>
      <c r="K119" s="5">
        <f t="shared" si="26"/>
        <v>0.46138159006325441</v>
      </c>
      <c r="L119" s="54">
        <f t="shared" si="27"/>
        <v>319.11087923010302</v>
      </c>
      <c r="M119" s="54">
        <f t="shared" si="28"/>
        <v>1842.8891207698971</v>
      </c>
      <c r="N119" s="54">
        <f t="shared" si="29"/>
        <v>43.704017269977108</v>
      </c>
      <c r="O119" s="54">
        <f t="shared" si="30"/>
        <v>694.29598273002284</v>
      </c>
      <c r="P119" s="2">
        <f t="shared" si="31"/>
        <v>228</v>
      </c>
      <c r="Q119" s="2">
        <f t="shared" si="32"/>
        <v>2876</v>
      </c>
    </row>
    <row r="120" spans="2:17">
      <c r="B120" s="2">
        <v>4</v>
      </c>
      <c r="C120" s="5">
        <f t="shared" si="33"/>
        <v>0.22560883404647758</v>
      </c>
      <c r="D120" s="5">
        <f t="shared" si="34"/>
        <v>8.4085944143069372E-2</v>
      </c>
      <c r="E120" s="5">
        <f t="shared" si="35"/>
        <v>0.69030522181045306</v>
      </c>
      <c r="F120" s="5">
        <f t="shared" si="21"/>
        <v>5.0899345999811059E-2</v>
      </c>
      <c r="G120" s="5">
        <f t="shared" si="22"/>
        <v>3.794106363563024E-2</v>
      </c>
      <c r="H120" s="5">
        <f t="shared" si="23"/>
        <v>0.31147791245770279</v>
      </c>
      <c r="I120" s="5">
        <f t="shared" si="24"/>
        <v>7.0704460024313825E-3</v>
      </c>
      <c r="J120" s="5">
        <f t="shared" si="25"/>
        <v>0.11608993264564574</v>
      </c>
      <c r="K120" s="5">
        <f t="shared" si="26"/>
        <v>0.47652129925877879</v>
      </c>
      <c r="L120" s="54">
        <f t="shared" si="27"/>
        <v>303.67354320192101</v>
      </c>
      <c r="M120" s="54">
        <f t="shared" si="28"/>
        <v>1858.3264567980791</v>
      </c>
      <c r="N120" s="54">
        <f t="shared" si="29"/>
        <v>42.367433480408742</v>
      </c>
      <c r="O120" s="54">
        <f t="shared" si="30"/>
        <v>695.63256651959125</v>
      </c>
      <c r="P120" s="2">
        <f t="shared" si="31"/>
        <v>228</v>
      </c>
      <c r="Q120" s="2">
        <f t="shared" si="32"/>
        <v>2876</v>
      </c>
    </row>
    <row r="121" spans="2:17">
      <c r="B121" s="2">
        <v>5</v>
      </c>
      <c r="C121" s="5">
        <f t="shared" si="33"/>
        <v>0.22432324643586954</v>
      </c>
      <c r="D121" s="5">
        <f t="shared" si="34"/>
        <v>8.3974636365790209E-2</v>
      </c>
      <c r="E121" s="5">
        <f t="shared" si="35"/>
        <v>0.6917021171983404</v>
      </c>
      <c r="F121" s="5">
        <f t="shared" si="21"/>
        <v>5.0320918891527858E-2</v>
      </c>
      <c r="G121" s="5">
        <f t="shared" si="22"/>
        <v>3.7674926095691376E-2</v>
      </c>
      <c r="H121" s="5">
        <f t="shared" si="23"/>
        <v>0.31032972899299205</v>
      </c>
      <c r="I121" s="5">
        <f t="shared" si="24"/>
        <v>7.0517395527666957E-3</v>
      </c>
      <c r="J121" s="5">
        <f t="shared" si="25"/>
        <v>0.11617086753035567</v>
      </c>
      <c r="K121" s="5">
        <f t="shared" si="26"/>
        <v>0.47845181893666666</v>
      </c>
      <c r="L121" s="54">
        <f t="shared" si="27"/>
        <v>301.65986746908311</v>
      </c>
      <c r="M121" s="54">
        <f t="shared" si="28"/>
        <v>1860.3401325309169</v>
      </c>
      <c r="N121" s="54">
        <f t="shared" si="29"/>
        <v>42.234001642500807</v>
      </c>
      <c r="O121" s="54">
        <f t="shared" si="30"/>
        <v>695.76599835749926</v>
      </c>
      <c r="P121" s="2">
        <f t="shared" si="31"/>
        <v>228</v>
      </c>
      <c r="Q121" s="2">
        <f t="shared" si="32"/>
        <v>2876</v>
      </c>
    </row>
    <row r="122" spans="2:17" ht="14.4">
      <c r="B122" s="2" t="s">
        <v>119</v>
      </c>
      <c r="C122" s="2" t="s">
        <v>164</v>
      </c>
      <c r="D122" s="2" t="s">
        <v>165</v>
      </c>
      <c r="E122" s="2" t="s">
        <v>166</v>
      </c>
      <c r="F122" s="2" t="s">
        <v>167</v>
      </c>
      <c r="G122" s="2" t="s">
        <v>168</v>
      </c>
    </row>
    <row r="123" spans="2:17" ht="14.4">
      <c r="B123" s="6" t="s">
        <v>1489</v>
      </c>
      <c r="C123" s="5">
        <f>F121+H121</f>
        <v>0.36065064788451989</v>
      </c>
      <c r="D123" s="5">
        <f>I121+J121</f>
        <v>0.12322260708312237</v>
      </c>
      <c r="E123" s="5">
        <f>G121</f>
        <v>3.7674926095691376E-2</v>
      </c>
      <c r="F123" s="5">
        <f>K121</f>
        <v>0.47845181893666666</v>
      </c>
      <c r="G123" s="5">
        <f>SUM(C123:F123)</f>
        <v>1.0000000000000004</v>
      </c>
    </row>
    <row r="124" spans="2:17">
      <c r="B124" s="8" t="s">
        <v>146</v>
      </c>
      <c r="C124" s="54">
        <f>(F121+H121)*G114</f>
        <v>2165.3464898986576</v>
      </c>
      <c r="D124" s="54">
        <f>G114*(I121+J121)</f>
        <v>739.8285329270667</v>
      </c>
      <c r="E124" s="54">
        <f>G121*G114</f>
        <v>226.20025627853101</v>
      </c>
      <c r="F124" s="54">
        <f>K121*G114</f>
        <v>2872.6247208957466</v>
      </c>
      <c r="G124" s="2">
        <f>SUM(C124:F124)</f>
        <v>6004.0000000000018</v>
      </c>
    </row>
    <row r="125" spans="2:17" ht="16.8">
      <c r="B125" s="3" t="s">
        <v>1488</v>
      </c>
      <c r="C125" s="5">
        <f>(C114-C124)^2/C124</f>
        <v>5.1719180713391214E-3</v>
      </c>
      <c r="D125" s="5">
        <f t="shared" ref="D125:F125" si="36">(D114-D124)^2/D124</f>
        <v>4.5193345708616191E-3</v>
      </c>
      <c r="E125" s="5">
        <f t="shared" si="36"/>
        <v>1.4319512790377232E-2</v>
      </c>
      <c r="F125" s="5">
        <f t="shared" si="36"/>
        <v>3.9658883907597075E-3</v>
      </c>
    </row>
    <row r="126" spans="2:17" ht="16.8">
      <c r="B126" s="3" t="s">
        <v>26</v>
      </c>
      <c r="C126" s="5">
        <f>SUM(C125:F125)</f>
        <v>2.797665382333768E-2</v>
      </c>
      <c r="D126" s="5"/>
      <c r="E126" s="5"/>
      <c r="F126" s="5"/>
    </row>
    <row r="127" spans="2:17" ht="14.4">
      <c r="B127" s="2" t="s">
        <v>27</v>
      </c>
      <c r="C127" s="5">
        <f>_xlfn.CHISQ.DIST.RT(C126,1)</f>
        <v>0.8671637209645372</v>
      </c>
      <c r="D127" s="5"/>
      <c r="E127" s="5"/>
      <c r="F127" s="5"/>
    </row>
    <row r="129" spans="1:10" ht="14.4">
      <c r="A129" s="1" t="s">
        <v>175</v>
      </c>
      <c r="B129" s="4" t="s">
        <v>36</v>
      </c>
      <c r="C129" s="2" t="s">
        <v>37</v>
      </c>
    </row>
    <row r="130" spans="1:10" ht="14.4">
      <c r="B130" s="2" t="s">
        <v>38</v>
      </c>
      <c r="C130" s="2" t="s">
        <v>39</v>
      </c>
      <c r="D130" s="2" t="s">
        <v>40</v>
      </c>
      <c r="E130" s="2" t="s">
        <v>41</v>
      </c>
      <c r="F130" s="2" t="s">
        <v>176</v>
      </c>
    </row>
    <row r="131" spans="1:10" ht="14.4">
      <c r="B131" s="4" t="s">
        <v>43</v>
      </c>
      <c r="C131" s="2">
        <v>315</v>
      </c>
      <c r="D131" s="2">
        <v>108</v>
      </c>
      <c r="E131" s="2">
        <f>C131+D131</f>
        <v>423</v>
      </c>
      <c r="F131" s="5">
        <f>E131/E133</f>
        <v>0.76079136690647486</v>
      </c>
    </row>
    <row r="132" spans="1:10" ht="14.4">
      <c r="B132" s="4" t="s">
        <v>44</v>
      </c>
      <c r="C132" s="2">
        <v>101</v>
      </c>
      <c r="D132" s="2">
        <v>32</v>
      </c>
      <c r="E132" s="2">
        <f>C132+D132</f>
        <v>133</v>
      </c>
      <c r="F132" s="5">
        <f>E132/E133</f>
        <v>0.23920863309352519</v>
      </c>
    </row>
    <row r="133" spans="1:10" ht="14.4">
      <c r="B133" s="4" t="s">
        <v>45</v>
      </c>
      <c r="C133" s="2">
        <f>C131+C132</f>
        <v>416</v>
      </c>
      <c r="D133" s="2">
        <f>D131+D132</f>
        <v>140</v>
      </c>
      <c r="E133" s="2">
        <f>SUM(C131:D132)</f>
        <v>556</v>
      </c>
    </row>
    <row r="134" spans="1:10" ht="14.4">
      <c r="B134" s="4" t="s">
        <v>178</v>
      </c>
      <c r="C134" s="5">
        <f>C133/E133</f>
        <v>0.74820143884892087</v>
      </c>
      <c r="D134" s="5">
        <f>D133/E133</f>
        <v>0.25179856115107913</v>
      </c>
    </row>
    <row r="135" spans="1:10" ht="16.8">
      <c r="B135" s="4"/>
      <c r="C135" s="2" t="s">
        <v>177</v>
      </c>
      <c r="F135" s="6" t="s">
        <v>1490</v>
      </c>
      <c r="I135" s="3" t="s">
        <v>1488</v>
      </c>
    </row>
    <row r="136" spans="1:10" ht="14.4">
      <c r="C136" s="2" t="s">
        <v>39</v>
      </c>
      <c r="D136" s="2" t="s">
        <v>40</v>
      </c>
      <c r="F136" s="2" t="s">
        <v>39</v>
      </c>
      <c r="G136" s="2" t="s">
        <v>40</v>
      </c>
      <c r="I136" s="2" t="s">
        <v>39</v>
      </c>
      <c r="J136" s="2" t="s">
        <v>40</v>
      </c>
    </row>
    <row r="137" spans="1:10" ht="14.4">
      <c r="B137" s="4" t="s">
        <v>43</v>
      </c>
      <c r="C137" s="5">
        <f>$F131*C$134</f>
        <v>0.56922519538326177</v>
      </c>
      <c r="D137" s="5">
        <f>$F131*D$134</f>
        <v>0.19156617152321309</v>
      </c>
      <c r="E137" s="4"/>
      <c r="F137" s="54">
        <f>C137*$E$133</f>
        <v>316.48920863309354</v>
      </c>
      <c r="G137" s="54">
        <f>D137*$E$133</f>
        <v>106.51079136690647</v>
      </c>
      <c r="H137" s="4"/>
      <c r="I137" s="5">
        <f>(C131-F137)^2/F137</f>
        <v>7.0073237645564149E-3</v>
      </c>
      <c r="J137" s="5">
        <f>(D131-G137)^2/G137</f>
        <v>2.082176204325295E-2</v>
      </c>
    </row>
    <row r="138" spans="1:10" ht="14.4">
      <c r="B138" s="4" t="s">
        <v>44</v>
      </c>
      <c r="C138" s="5">
        <f>$F132*C$134</f>
        <v>0.17897624346565913</v>
      </c>
      <c r="D138" s="5">
        <f>$F132*D$134</f>
        <v>6.0232389627866055E-2</v>
      </c>
      <c r="E138" s="4"/>
      <c r="F138" s="54">
        <f>C138*$E$133</f>
        <v>99.510791366906474</v>
      </c>
      <c r="G138" s="54">
        <f>D138*$E$133</f>
        <v>33.489208633093526</v>
      </c>
      <c r="H138" s="4"/>
      <c r="I138" s="5">
        <f>(C132-F138)^2/F138</f>
        <v>2.2286450769979749E-2</v>
      </c>
      <c r="J138" s="5">
        <f>(D132-G138)^2/G138</f>
        <v>6.6222596573654119E-2</v>
      </c>
    </row>
    <row r="139" spans="1:10" ht="16.8">
      <c r="B139" s="3" t="s">
        <v>26</v>
      </c>
      <c r="C139" s="5">
        <f>SUM(I137:J138)</f>
        <v>0.11633813315144323</v>
      </c>
    </row>
    <row r="140" spans="1:10" ht="14.4">
      <c r="B140" s="2" t="s">
        <v>27</v>
      </c>
      <c r="C140" s="5">
        <f>_xlfn.CHISQ.DIST.RT(C139,1)</f>
        <v>0.73304052460364555</v>
      </c>
      <c r="D140" s="2" t="s">
        <v>179</v>
      </c>
    </row>
    <row r="142" spans="1:10" ht="14.4">
      <c r="A142" s="1" t="s">
        <v>180</v>
      </c>
      <c r="C142" s="2" t="s">
        <v>181</v>
      </c>
      <c r="D142" s="2" t="s">
        <v>182</v>
      </c>
      <c r="E142" s="2" t="s">
        <v>41</v>
      </c>
      <c r="F142" s="2" t="s">
        <v>176</v>
      </c>
    </row>
    <row r="143" spans="1:10">
      <c r="B143" s="2" t="s">
        <v>160</v>
      </c>
      <c r="C143" s="2">
        <v>572</v>
      </c>
      <c r="D143" s="2">
        <v>3</v>
      </c>
      <c r="E143" s="2">
        <f>C143+D143</f>
        <v>575</v>
      </c>
      <c r="F143" s="5">
        <f>E143/$E$146</f>
        <v>0.24562152926099956</v>
      </c>
    </row>
    <row r="144" spans="1:10">
      <c r="B144" s="2" t="s">
        <v>183</v>
      </c>
      <c r="C144" s="2">
        <v>1161</v>
      </c>
      <c r="D144" s="2">
        <v>22</v>
      </c>
      <c r="E144" s="2">
        <f>C144+D144</f>
        <v>1183</v>
      </c>
      <c r="F144" s="5">
        <f t="shared" ref="F144:F145" si="37">E144/$E$146</f>
        <v>0.50533959846219567</v>
      </c>
    </row>
    <row r="145" spans="1:10">
      <c r="B145" s="2" t="s">
        <v>184</v>
      </c>
      <c r="C145" s="2">
        <v>14</v>
      </c>
      <c r="D145" s="2">
        <v>569</v>
      </c>
      <c r="E145" s="2">
        <f>C145+D145</f>
        <v>583</v>
      </c>
      <c r="F145" s="5">
        <f t="shared" si="37"/>
        <v>0.2490388722768048</v>
      </c>
    </row>
    <row r="146" spans="1:10" ht="14.4">
      <c r="B146" s="4" t="s">
        <v>45</v>
      </c>
      <c r="C146" s="2">
        <f>SUM(C143:C145)</f>
        <v>1747</v>
      </c>
      <c r="D146" s="2">
        <f>SUM(D143:D145)</f>
        <v>594</v>
      </c>
      <c r="E146" s="2">
        <f>SUM(C143:D145)</f>
        <v>2341</v>
      </c>
    </row>
    <row r="147" spans="1:10" ht="14.4">
      <c r="B147" s="4" t="s">
        <v>178</v>
      </c>
      <c r="C147" s="5">
        <f>C146/$E$146</f>
        <v>0.74626228107646309</v>
      </c>
      <c r="D147" s="5">
        <f>D146/$E$146</f>
        <v>0.25373771892353697</v>
      </c>
    </row>
    <row r="148" spans="1:10" ht="16.8">
      <c r="B148" s="4"/>
      <c r="C148" s="2" t="s">
        <v>177</v>
      </c>
      <c r="F148" s="2" t="s">
        <v>42</v>
      </c>
      <c r="I148" s="3" t="s">
        <v>1488</v>
      </c>
    </row>
    <row r="149" spans="1:10" ht="14.4">
      <c r="C149" s="2" t="s">
        <v>181</v>
      </c>
      <c r="D149" s="2" t="s">
        <v>182</v>
      </c>
      <c r="F149" s="2" t="s">
        <v>181</v>
      </c>
      <c r="G149" s="2" t="s">
        <v>182</v>
      </c>
      <c r="H149" s="3"/>
      <c r="I149" s="2" t="s">
        <v>181</v>
      </c>
      <c r="J149" s="2" t="s">
        <v>182</v>
      </c>
    </row>
    <row r="150" spans="1:10">
      <c r="B150" s="2" t="s">
        <v>160</v>
      </c>
      <c r="C150" s="5">
        <f t="shared" ref="C150:D152" si="38">$F143*C$147</f>
        <v>0.18329808270780276</v>
      </c>
      <c r="D150" s="5">
        <f t="shared" si="38"/>
        <v>6.2323446553196819E-2</v>
      </c>
      <c r="F150" s="54">
        <f>C150*$E$146</f>
        <v>429.10081161896625</v>
      </c>
      <c r="G150" s="54">
        <f>D150*$E$146</f>
        <v>145.89918838103375</v>
      </c>
      <c r="I150" s="54">
        <f t="shared" ref="I150:J152" si="39">(C143-F150)^2/F150</f>
        <v>47.58829973524012</v>
      </c>
      <c r="J150" s="54">
        <f t="shared" si="39"/>
        <v>139.96087481054627</v>
      </c>
    </row>
    <row r="151" spans="1:10">
      <c r="B151" s="2" t="s">
        <v>183</v>
      </c>
      <c r="C151" s="5">
        <f t="shared" si="38"/>
        <v>0.37711588146666208</v>
      </c>
      <c r="D151" s="5">
        <f t="shared" si="38"/>
        <v>0.12822371699553364</v>
      </c>
      <c r="F151" s="54">
        <f t="shared" ref="F151:G152" si="40">C151*$E$146</f>
        <v>882.82827851345598</v>
      </c>
      <c r="G151" s="54">
        <f t="shared" si="40"/>
        <v>300.17172148654424</v>
      </c>
      <c r="I151" s="54">
        <f t="shared" si="39"/>
        <v>87.649555998684519</v>
      </c>
      <c r="J151" s="54">
        <f t="shared" si="39"/>
        <v>257.7841318681854</v>
      </c>
    </row>
    <row r="152" spans="1:10">
      <c r="B152" s="2" t="s">
        <v>184</v>
      </c>
      <c r="C152" s="5">
        <f t="shared" si="38"/>
        <v>0.1858483169019983</v>
      </c>
      <c r="D152" s="5">
        <f t="shared" si="38"/>
        <v>6.3190555374806515E-2</v>
      </c>
      <c r="F152" s="54">
        <f t="shared" si="40"/>
        <v>435.070909867578</v>
      </c>
      <c r="G152" s="54">
        <f t="shared" si="40"/>
        <v>147.92909013242206</v>
      </c>
      <c r="I152" s="54">
        <f t="shared" si="39"/>
        <v>407.52141114347268</v>
      </c>
      <c r="J152" s="54">
        <f t="shared" si="39"/>
        <v>1198.552029070112</v>
      </c>
    </row>
    <row r="153" spans="1:10" ht="16.8">
      <c r="B153" s="3" t="s">
        <v>26</v>
      </c>
      <c r="C153" s="54">
        <f>SUM(I150:J152)</f>
        <v>2139.0563026262407</v>
      </c>
    </row>
    <row r="154" spans="1:10" ht="14.4">
      <c r="B154" s="2" t="s">
        <v>27</v>
      </c>
      <c r="C154" s="2">
        <f>_xlfn.CHISQ.DIST.RT(C153,2)</f>
        <v>0</v>
      </c>
    </row>
    <row r="155" spans="1:10" ht="14.4">
      <c r="B155" s="6" t="s">
        <v>185</v>
      </c>
      <c r="D155" s="6"/>
    </row>
    <row r="156" spans="1:10">
      <c r="A156" s="2" t="s">
        <v>1487</v>
      </c>
    </row>
    <row r="157" spans="1:10" ht="14.4">
      <c r="A157" s="1" t="s">
        <v>186</v>
      </c>
      <c r="C157" s="6" t="s">
        <v>1493</v>
      </c>
      <c r="F157" s="6" t="s">
        <v>1494</v>
      </c>
    </row>
    <row r="158" spans="1:10" ht="14.4">
      <c r="B158" s="2" t="s">
        <v>1492</v>
      </c>
      <c r="C158" s="2" t="s">
        <v>160</v>
      </c>
      <c r="D158" s="2" t="s">
        <v>187</v>
      </c>
      <c r="F158" s="2" t="s">
        <v>2</v>
      </c>
      <c r="G158" s="2" t="s">
        <v>3</v>
      </c>
      <c r="H158" s="2" t="s">
        <v>4</v>
      </c>
      <c r="I158" s="2" t="s">
        <v>188</v>
      </c>
      <c r="J158" s="2" t="s">
        <v>189</v>
      </c>
    </row>
    <row r="159" spans="1:10" ht="14.4">
      <c r="B159" s="2" t="s">
        <v>190</v>
      </c>
      <c r="C159" s="2">
        <f>1-D159</f>
        <v>0.8</v>
      </c>
      <c r="D159" s="2">
        <v>0.2</v>
      </c>
      <c r="F159" s="2">
        <f>C159^2</f>
        <v>0.64000000000000012</v>
      </c>
      <c r="G159" s="2">
        <f>2*C159*D159</f>
        <v>0.32000000000000006</v>
      </c>
      <c r="H159" s="2">
        <f>D159^2</f>
        <v>4.0000000000000008E-2</v>
      </c>
      <c r="I159" s="2">
        <f>H159</f>
        <v>4.0000000000000008E-2</v>
      </c>
      <c r="J159" s="5">
        <f>G159/(F159+G159)</f>
        <v>0.33333333333333331</v>
      </c>
    </row>
    <row r="160" spans="1:10" ht="14.4">
      <c r="B160" s="2" t="s">
        <v>191</v>
      </c>
      <c r="C160" s="2">
        <f>1-D160</f>
        <v>0.6</v>
      </c>
      <c r="D160" s="2">
        <v>0.4</v>
      </c>
      <c r="F160" s="2">
        <f>C160^2</f>
        <v>0.36</v>
      </c>
      <c r="G160" s="2">
        <f>2*C160*D160</f>
        <v>0.48</v>
      </c>
      <c r="H160" s="2">
        <f>D160^2</f>
        <v>0.16000000000000003</v>
      </c>
      <c r="I160" s="2">
        <f>H160</f>
        <v>0.16000000000000003</v>
      </c>
      <c r="J160" s="5">
        <f>G160/(F160+G160)</f>
        <v>0.5714285714285714</v>
      </c>
    </row>
    <row r="161" spans="1:8" ht="14.4">
      <c r="B161" s="2" t="s">
        <v>192</v>
      </c>
      <c r="C161" s="2">
        <f>F161+G161/2</f>
        <v>0.7</v>
      </c>
      <c r="D161" s="2">
        <f>G161/2+H161</f>
        <v>0.30000000000000004</v>
      </c>
      <c r="F161" s="2">
        <f>AVERAGE(F159:F160)</f>
        <v>0.5</v>
      </c>
      <c r="G161" s="2">
        <f t="shared" ref="G161:H161" si="41">AVERAGE(G159:G160)</f>
        <v>0.4</v>
      </c>
      <c r="H161" s="2">
        <f t="shared" si="41"/>
        <v>0.10000000000000002</v>
      </c>
    </row>
    <row r="162" spans="1:8" ht="14.4">
      <c r="B162" s="6" t="s">
        <v>1491</v>
      </c>
      <c r="C162" s="2" t="s">
        <v>1487</v>
      </c>
      <c r="F162" s="2">
        <f>C161^2</f>
        <v>0.48999999999999994</v>
      </c>
      <c r="G162" s="2">
        <f>2*C161*D161</f>
        <v>0.42000000000000004</v>
      </c>
      <c r="H162" s="2">
        <f>D161^2</f>
        <v>9.0000000000000024E-2</v>
      </c>
    </row>
    <row r="163" spans="1:8" ht="14.4">
      <c r="B163" s="2" t="s">
        <v>193</v>
      </c>
      <c r="C163" s="2" t="s">
        <v>1487</v>
      </c>
      <c r="F163" s="2">
        <f>F161-F162</f>
        <v>1.0000000000000064E-2</v>
      </c>
      <c r="G163" s="2">
        <f t="shared" ref="G163:H163" si="42">G161-G162</f>
        <v>-2.0000000000000018E-2</v>
      </c>
      <c r="H163" s="2">
        <f t="shared" si="42"/>
        <v>9.999999999999995E-3</v>
      </c>
    </row>
    <row r="164" spans="1:8" ht="14.4">
      <c r="B164" s="6" t="s">
        <v>194</v>
      </c>
    </row>
    <row r="166" spans="1:8" ht="14.4">
      <c r="A166" s="1" t="s">
        <v>195</v>
      </c>
      <c r="B166" s="1" t="s">
        <v>196</v>
      </c>
    </row>
    <row r="167" spans="1:8" ht="14.4">
      <c r="B167" s="2" t="s">
        <v>197</v>
      </c>
      <c r="C167" s="2" t="s">
        <v>162</v>
      </c>
      <c r="D167" s="2" t="s">
        <v>198</v>
      </c>
      <c r="E167" s="2" t="s">
        <v>199</v>
      </c>
      <c r="F167" s="2" t="s">
        <v>200</v>
      </c>
    </row>
    <row r="168" spans="1:8" ht="14.4">
      <c r="B168" s="2" t="s">
        <v>144</v>
      </c>
      <c r="C168" s="2">
        <v>0.5</v>
      </c>
      <c r="D168" s="2">
        <v>0</v>
      </c>
      <c r="E168" s="2">
        <v>0</v>
      </c>
      <c r="F168" s="2">
        <v>0.5</v>
      </c>
    </row>
    <row r="169" spans="1:8" ht="14.4">
      <c r="B169" s="2" t="s">
        <v>202</v>
      </c>
      <c r="C169" s="1" t="s">
        <v>195</v>
      </c>
      <c r="D169" s="1" t="s">
        <v>196</v>
      </c>
    </row>
    <row r="170" spans="1:8" ht="14.4">
      <c r="B170" s="2" t="s">
        <v>1991</v>
      </c>
      <c r="C170" s="2">
        <v>0.5</v>
      </c>
      <c r="D170" s="2">
        <v>0.1</v>
      </c>
    </row>
    <row r="171" spans="1:8">
      <c r="B171" s="2">
        <v>0</v>
      </c>
      <c r="C171" s="2">
        <f>C168*F168-D168*E168</f>
        <v>0.25</v>
      </c>
      <c r="D171" s="2">
        <f>C171</f>
        <v>0.25</v>
      </c>
    </row>
    <row r="172" spans="1:8">
      <c r="B172" s="2">
        <v>1</v>
      </c>
      <c r="C172" s="1">
        <f>$C$171*(1-$C$170)^B172</f>
        <v>0.125</v>
      </c>
      <c r="D172" s="1">
        <f>$D$171*(1-$D$170)^B172</f>
        <v>0.22500000000000001</v>
      </c>
    </row>
    <row r="173" spans="1:8">
      <c r="B173" s="2">
        <v>2</v>
      </c>
      <c r="C173" s="1">
        <f t="shared" ref="C173:C175" si="43">$C$171*(1-$C$170)^B173</f>
        <v>6.25E-2</v>
      </c>
      <c r="D173" s="2">
        <f t="shared" ref="D173:D175" si="44">$D$171*(1-$D$170)^B173</f>
        <v>0.20250000000000001</v>
      </c>
    </row>
    <row r="174" spans="1:8">
      <c r="B174" s="2">
        <v>10</v>
      </c>
      <c r="C174" s="2">
        <f t="shared" si="43"/>
        <v>2.44140625E-4</v>
      </c>
      <c r="D174" s="1">
        <f t="shared" si="44"/>
        <v>8.7169610025000038E-2</v>
      </c>
    </row>
    <row r="175" spans="1:8">
      <c r="B175" s="2">
        <v>100</v>
      </c>
      <c r="C175" s="2">
        <f t="shared" si="43"/>
        <v>1.9721522630525295E-31</v>
      </c>
      <c r="D175" s="1">
        <f t="shared" si="44"/>
        <v>6.6403497218969012E-6</v>
      </c>
    </row>
    <row r="178" spans="1:12" ht="14.4">
      <c r="A178" s="1" t="s">
        <v>203</v>
      </c>
      <c r="B178" s="6" t="s">
        <v>204</v>
      </c>
    </row>
    <row r="179" spans="1:12" ht="16.8">
      <c r="C179" s="6" t="s">
        <v>78</v>
      </c>
      <c r="D179" s="2" t="s">
        <v>205</v>
      </c>
      <c r="E179" s="2" t="s">
        <v>206</v>
      </c>
      <c r="G179" s="6" t="s">
        <v>78</v>
      </c>
      <c r="I179" s="6" t="s">
        <v>207</v>
      </c>
      <c r="J179" s="6" t="s">
        <v>208</v>
      </c>
      <c r="K179" s="6" t="s">
        <v>209</v>
      </c>
      <c r="L179" s="2" t="s">
        <v>210</v>
      </c>
    </row>
    <row r="180" spans="1:12" ht="14.4">
      <c r="B180" t="s">
        <v>162</v>
      </c>
      <c r="C180" s="2">
        <v>0.191</v>
      </c>
      <c r="D180" s="2">
        <v>1</v>
      </c>
      <c r="E180" s="2">
        <v>1</v>
      </c>
      <c r="F180" s="2" t="s">
        <v>160</v>
      </c>
      <c r="G180" s="2">
        <f>C180+C181</f>
        <v>0.221</v>
      </c>
      <c r="H180" t="s">
        <v>162</v>
      </c>
      <c r="I180" s="2">
        <f>G180*G182</f>
        <v>5.4365999999999998E-2</v>
      </c>
      <c r="J180" s="2">
        <f>C180*C184</f>
        <v>23.493000000000002</v>
      </c>
      <c r="K180" s="2">
        <f>I180*C184</f>
        <v>6.6870180000000001</v>
      </c>
      <c r="L180" s="2">
        <f>(J180-K180)^2/K180</f>
        <v>42.237217095022629</v>
      </c>
    </row>
    <row r="181" spans="1:12">
      <c r="B181" s="2" t="s">
        <v>198</v>
      </c>
      <c r="C181" s="2">
        <v>0.03</v>
      </c>
      <c r="D181" s="2">
        <v>1</v>
      </c>
      <c r="E181" s="2">
        <v>-1</v>
      </c>
      <c r="F181" s="2" t="s">
        <v>187</v>
      </c>
      <c r="G181" s="2">
        <f>C182+C183</f>
        <v>0.77899999999999991</v>
      </c>
      <c r="H181" s="2" t="s">
        <v>198</v>
      </c>
      <c r="I181" s="2">
        <f>G180*G183</f>
        <v>0.16663399999999998</v>
      </c>
      <c r="J181" s="2">
        <f>C181*C184</f>
        <v>3.69</v>
      </c>
      <c r="K181" s="2">
        <f>I181*C184</f>
        <v>20.495981999999998</v>
      </c>
      <c r="L181" s="2">
        <f t="shared" ref="L181:L183" si="45">(J181-K181)^2/K181</f>
        <v>13.780312208720906</v>
      </c>
    </row>
    <row r="182" spans="1:12">
      <c r="B182" s="2" t="s">
        <v>199</v>
      </c>
      <c r="C182" s="2">
        <v>5.5E-2</v>
      </c>
      <c r="D182" s="2">
        <v>-1</v>
      </c>
      <c r="E182" s="2">
        <v>1</v>
      </c>
      <c r="F182" s="2" t="s">
        <v>161</v>
      </c>
      <c r="G182" s="2">
        <f>C180+C182</f>
        <v>0.246</v>
      </c>
      <c r="H182" s="2" t="s">
        <v>199</v>
      </c>
      <c r="I182" s="2">
        <f>G181*G182</f>
        <v>0.19163399999999997</v>
      </c>
      <c r="J182" s="2">
        <f>C182*C184</f>
        <v>6.7649999999999997</v>
      </c>
      <c r="K182" s="2">
        <f>I182*C184</f>
        <v>23.570981999999997</v>
      </c>
      <c r="L182" s="2">
        <f t="shared" si="45"/>
        <v>11.982573784338893</v>
      </c>
    </row>
    <row r="183" spans="1:12">
      <c r="B183" s="2" t="s">
        <v>200</v>
      </c>
      <c r="C183" s="2">
        <f>1-C180-C181-C182</f>
        <v>0.72399999999999987</v>
      </c>
      <c r="D183" s="2">
        <v>-1</v>
      </c>
      <c r="E183" s="2">
        <v>-1</v>
      </c>
      <c r="F183" s="2" t="s">
        <v>211</v>
      </c>
      <c r="G183" s="2">
        <f>C181+C183</f>
        <v>0.75399999999999989</v>
      </c>
      <c r="H183" s="2" t="s">
        <v>200</v>
      </c>
      <c r="I183" s="2">
        <f>G181*G183</f>
        <v>0.58736599999999983</v>
      </c>
      <c r="J183" s="2">
        <f>C183*C184</f>
        <v>89.051999999999978</v>
      </c>
      <c r="K183" s="2">
        <f>I183*C184</f>
        <v>72.246017999999978</v>
      </c>
      <c r="L183" s="2">
        <f t="shared" si="45"/>
        <v>3.9094338871981029</v>
      </c>
    </row>
    <row r="184" spans="1:12" ht="14.4">
      <c r="B184" s="2" t="s">
        <v>212</v>
      </c>
      <c r="C184" s="2">
        <v>123</v>
      </c>
      <c r="K184" s="3"/>
    </row>
    <row r="185" spans="1:12">
      <c r="B185" s="2" t="s">
        <v>213</v>
      </c>
      <c r="C185" s="2">
        <f>C180*C183-C181*C182</f>
        <v>0.13663399999999998</v>
      </c>
    </row>
    <row r="186" spans="1:12" ht="14.4">
      <c r="C186" s="6" t="s">
        <v>214</v>
      </c>
      <c r="D186" s="6" t="s">
        <v>215</v>
      </c>
    </row>
    <row r="187" spans="1:12">
      <c r="B187" s="2" t="s">
        <v>216</v>
      </c>
      <c r="C187" s="2">
        <f>SUMPRODUCT(C180:C183,D180:D183)</f>
        <v>-0.55799999999999983</v>
      </c>
      <c r="D187" s="2">
        <f>G180-G181</f>
        <v>-0.55799999999999994</v>
      </c>
    </row>
    <row r="188" spans="1:12">
      <c r="B188" s="2" t="s">
        <v>217</v>
      </c>
      <c r="C188" s="2">
        <f>SUMPRODUCT(C180:C183,(D180:D183)^2)-C187^2</f>
        <v>0.68863600000000003</v>
      </c>
      <c r="D188" s="2">
        <f>4*G180*G181</f>
        <v>0.68863599999999991</v>
      </c>
    </row>
    <row r="189" spans="1:12">
      <c r="B189" s="2" t="s">
        <v>218</v>
      </c>
      <c r="C189" s="2">
        <f>SUMPRODUCT(C180:C183,E180:E183)</f>
        <v>-0.5079999999999999</v>
      </c>
      <c r="D189" s="2">
        <f>G182-G183</f>
        <v>-0.5079999999999999</v>
      </c>
    </row>
    <row r="190" spans="1:12">
      <c r="B190" s="2" t="s">
        <v>219</v>
      </c>
      <c r="C190" s="2">
        <f>SUMPRODUCT(C180:C183,(D180:D183)^2)-C189^2</f>
        <v>0.74193599999999993</v>
      </c>
      <c r="D190" s="2">
        <f>4*G182*G183</f>
        <v>0.74193599999999993</v>
      </c>
    </row>
    <row r="191" spans="1:12">
      <c r="B191" s="2" t="s">
        <v>220</v>
      </c>
      <c r="C191" s="2">
        <f>SUMPRODUCT(C180:C183,D180:D183,E180:E183)-C187*C189</f>
        <v>0.54653599999999991</v>
      </c>
      <c r="D191" s="2">
        <f>4*C185</f>
        <v>0.54653599999999991</v>
      </c>
    </row>
    <row r="192" spans="1:12" ht="16.8">
      <c r="B192" s="2" t="s">
        <v>221</v>
      </c>
      <c r="C192" s="2">
        <f>(C191/SQRT(C188*C190))^2</f>
        <v>0.58463038191284977</v>
      </c>
      <c r="D192" s="2">
        <f>C185^2/PRODUCT(G180:G183)</f>
        <v>0.58463038191284977</v>
      </c>
    </row>
    <row r="193" spans="2:4" ht="16.8">
      <c r="B193" s="3" t="s">
        <v>222</v>
      </c>
      <c r="C193" s="2">
        <f>C184*C192</f>
        <v>71.909536975280517</v>
      </c>
      <c r="D193" s="2">
        <f>SUM(L180:L183)</f>
        <v>71.909536975280531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2"/>
  <sheetViews>
    <sheetView tabSelected="1" zoomScaleNormal="100" workbookViewId="0">
      <selection activeCell="K161" sqref="K161"/>
    </sheetView>
  </sheetViews>
  <sheetFormatPr defaultRowHeight="14.4"/>
  <cols>
    <col min="4" max="4" width="10.5546875" bestFit="1" customWidth="1"/>
    <col min="5" max="5" width="9" bestFit="1" customWidth="1"/>
    <col min="6" max="6" width="9.5546875" bestFit="1" customWidth="1"/>
  </cols>
  <sheetData>
    <row r="1" spans="1:16">
      <c r="A1" s="11" t="s">
        <v>1063</v>
      </c>
      <c r="B1" t="s">
        <v>1064</v>
      </c>
    </row>
    <row r="4" spans="1:16">
      <c r="A4" s="11" t="s">
        <v>1066</v>
      </c>
      <c r="B4" t="s">
        <v>1856</v>
      </c>
      <c r="C4" t="s">
        <v>1067</v>
      </c>
      <c r="D4" t="s">
        <v>1068</v>
      </c>
      <c r="E4" t="s">
        <v>1069</v>
      </c>
      <c r="O4" s="81"/>
      <c r="P4" s="81"/>
    </row>
    <row r="5" spans="1:16">
      <c r="B5" t="s">
        <v>1078</v>
      </c>
      <c r="C5">
        <v>7</v>
      </c>
      <c r="D5">
        <v>6</v>
      </c>
      <c r="E5">
        <v>3</v>
      </c>
    </row>
    <row r="7" spans="1:16">
      <c r="D7" s="81" t="s">
        <v>1065</v>
      </c>
    </row>
    <row r="8" spans="1:16" ht="16.8">
      <c r="B8" t="s">
        <v>1070</v>
      </c>
      <c r="C8" t="s">
        <v>1071</v>
      </c>
      <c r="D8" t="s">
        <v>1072</v>
      </c>
      <c r="E8" t="s">
        <v>1073</v>
      </c>
      <c r="F8" t="s">
        <v>1074</v>
      </c>
      <c r="G8" t="s">
        <v>1075</v>
      </c>
      <c r="H8" s="14" t="s">
        <v>1076</v>
      </c>
      <c r="I8" t="s">
        <v>1077</v>
      </c>
    </row>
    <row r="9" spans="1:16">
      <c r="B9">
        <f>(C5-E5)/2</f>
        <v>2</v>
      </c>
      <c r="C9">
        <f>D5-(C5+E5)/2</f>
        <v>1</v>
      </c>
      <c r="D9">
        <f>B9^2/2</f>
        <v>2</v>
      </c>
      <c r="E9">
        <f>C9^2/4</f>
        <v>0.25</v>
      </c>
      <c r="F9">
        <f>B9^2/2+C9^2/4</f>
        <v>2.25</v>
      </c>
      <c r="G9">
        <v>1</v>
      </c>
      <c r="H9">
        <f>D9/(F9+G9)</f>
        <v>0.61538461538461542</v>
      </c>
      <c r="I9">
        <f>F9/(F9+G9)</f>
        <v>0.69230769230769229</v>
      </c>
    </row>
    <row r="10" spans="1:16">
      <c r="C10" t="s">
        <v>1854</v>
      </c>
      <c r="D10" t="s">
        <v>1855</v>
      </c>
    </row>
    <row r="11" spans="1:16">
      <c r="B11" t="s">
        <v>1853</v>
      </c>
      <c r="C11">
        <f>D9/4</f>
        <v>0.5</v>
      </c>
      <c r="D11">
        <f>F9-C11</f>
        <v>1.75</v>
      </c>
    </row>
    <row r="12" spans="1:16">
      <c r="B12" t="s">
        <v>1852</v>
      </c>
      <c r="C12">
        <f>D9/2+E9/4</f>
        <v>1.0625</v>
      </c>
      <c r="D12">
        <f>F9-C12</f>
        <v>1.1875</v>
      </c>
    </row>
    <row r="14" spans="1:16">
      <c r="C14" t="s">
        <v>1079</v>
      </c>
      <c r="D14" t="s">
        <v>1080</v>
      </c>
      <c r="E14" t="s">
        <v>1081</v>
      </c>
    </row>
    <row r="15" spans="1:16">
      <c r="B15" t="s">
        <v>1079</v>
      </c>
      <c r="C15">
        <f>C5</f>
        <v>7</v>
      </c>
      <c r="D15">
        <f>C5/2+D5/2</f>
        <v>6.5</v>
      </c>
      <c r="E15">
        <f>D5</f>
        <v>6</v>
      </c>
    </row>
    <row r="16" spans="1:16">
      <c r="B16" t="s">
        <v>1080</v>
      </c>
      <c r="C16">
        <f>(C5+D5)/2</f>
        <v>6.5</v>
      </c>
      <c r="D16">
        <f>C5/4+D5/2+E5/4</f>
        <v>5.5</v>
      </c>
      <c r="E16">
        <f>D5/2+E5/2</f>
        <v>4.5</v>
      </c>
    </row>
    <row r="17" spans="1:10">
      <c r="B17" t="s">
        <v>1081</v>
      </c>
      <c r="C17">
        <f>D5</f>
        <v>6</v>
      </c>
      <c r="D17">
        <f>D5/2+E5/2</f>
        <v>4.5</v>
      </c>
      <c r="E17">
        <f>E5</f>
        <v>3</v>
      </c>
    </row>
    <row r="19" spans="1:10">
      <c r="A19" s="1" t="s">
        <v>1857</v>
      </c>
      <c r="C19" t="s">
        <v>940</v>
      </c>
      <c r="D19" t="s">
        <v>944</v>
      </c>
      <c r="E19" t="s">
        <v>1082</v>
      </c>
      <c r="F19" t="s">
        <v>936</v>
      </c>
      <c r="G19" t="s">
        <v>940</v>
      </c>
      <c r="H19" t="s">
        <v>944</v>
      </c>
      <c r="I19" t="s">
        <v>1082</v>
      </c>
      <c r="J19" t="s">
        <v>936</v>
      </c>
    </row>
    <row r="20" spans="1:10">
      <c r="B20" t="s">
        <v>940</v>
      </c>
      <c r="C20">
        <f>C15</f>
        <v>7</v>
      </c>
      <c r="D20">
        <f>D15</f>
        <v>6.5</v>
      </c>
      <c r="E20">
        <f>D20</f>
        <v>6.5</v>
      </c>
      <c r="F20">
        <f>E15</f>
        <v>6</v>
      </c>
      <c r="G20">
        <f>C20</f>
        <v>7</v>
      </c>
      <c r="H20">
        <f t="shared" ref="H20:J23" si="0">D20</f>
        <v>6.5</v>
      </c>
      <c r="I20">
        <f t="shared" si="0"/>
        <v>6.5</v>
      </c>
      <c r="J20">
        <f t="shared" si="0"/>
        <v>6</v>
      </c>
    </row>
    <row r="21" spans="1:10">
      <c r="B21" t="s">
        <v>1083</v>
      </c>
      <c r="C21">
        <f>C16</f>
        <v>6.5</v>
      </c>
      <c r="D21">
        <f>D16</f>
        <v>5.5</v>
      </c>
      <c r="E21">
        <f>D21</f>
        <v>5.5</v>
      </c>
      <c r="F21">
        <f>E16</f>
        <v>4.5</v>
      </c>
      <c r="G21">
        <f t="shared" ref="G21:G23" si="1">C21</f>
        <v>6.5</v>
      </c>
      <c r="H21">
        <f t="shared" si="0"/>
        <v>5.5</v>
      </c>
      <c r="I21">
        <f t="shared" si="0"/>
        <v>5.5</v>
      </c>
      <c r="J21">
        <f t="shared" si="0"/>
        <v>4.5</v>
      </c>
    </row>
    <row r="22" spans="1:10">
      <c r="B22" t="s">
        <v>1084</v>
      </c>
      <c r="C22">
        <f>C21</f>
        <v>6.5</v>
      </c>
      <c r="D22">
        <f t="shared" ref="D22:F22" si="2">D21</f>
        <v>5.5</v>
      </c>
      <c r="E22">
        <f t="shared" si="2"/>
        <v>5.5</v>
      </c>
      <c r="F22">
        <f t="shared" si="2"/>
        <v>4.5</v>
      </c>
      <c r="G22">
        <f t="shared" si="1"/>
        <v>6.5</v>
      </c>
      <c r="H22">
        <f t="shared" si="0"/>
        <v>5.5</v>
      </c>
      <c r="I22">
        <f t="shared" si="0"/>
        <v>5.5</v>
      </c>
      <c r="J22">
        <f t="shared" si="0"/>
        <v>4.5</v>
      </c>
    </row>
    <row r="23" spans="1:10">
      <c r="B23" t="s">
        <v>1081</v>
      </c>
      <c r="C23">
        <f>C17</f>
        <v>6</v>
      </c>
      <c r="D23">
        <f>D17</f>
        <v>4.5</v>
      </c>
      <c r="E23">
        <f>D23</f>
        <v>4.5</v>
      </c>
      <c r="F23">
        <f>E17</f>
        <v>3</v>
      </c>
      <c r="G23">
        <f t="shared" si="1"/>
        <v>6</v>
      </c>
      <c r="H23">
        <f t="shared" si="0"/>
        <v>4.5</v>
      </c>
      <c r="I23">
        <f t="shared" si="0"/>
        <v>4.5</v>
      </c>
      <c r="J23">
        <f t="shared" si="0"/>
        <v>3</v>
      </c>
    </row>
    <row r="25" spans="1:10">
      <c r="B25" t="s">
        <v>1085</v>
      </c>
      <c r="C25">
        <v>1</v>
      </c>
      <c r="D25">
        <v>2</v>
      </c>
      <c r="E25">
        <v>3</v>
      </c>
      <c r="F25">
        <v>4</v>
      </c>
      <c r="G25">
        <v>5</v>
      </c>
      <c r="H25">
        <v>6</v>
      </c>
      <c r="I25">
        <v>7</v>
      </c>
      <c r="J25">
        <v>8</v>
      </c>
    </row>
    <row r="26" spans="1:10">
      <c r="A26" t="s">
        <v>1858</v>
      </c>
      <c r="B26">
        <v>1</v>
      </c>
      <c r="C26">
        <v>-1.5706018530181609</v>
      </c>
      <c r="D26">
        <v>-0.11049678505514748</v>
      </c>
      <c r="E26">
        <v>0.10718849807744846</v>
      </c>
      <c r="F26">
        <v>-1.8348328012507409</v>
      </c>
      <c r="G26">
        <v>1.629759935894981</v>
      </c>
      <c r="H26">
        <v>-0.45420961214404088</v>
      </c>
      <c r="I26">
        <v>-0.12482473721320275</v>
      </c>
      <c r="J26">
        <v>-0.33337300919811241</v>
      </c>
    </row>
    <row r="27" spans="1:10">
      <c r="B27">
        <v>2</v>
      </c>
      <c r="C27">
        <v>-1.8008995539275929</v>
      </c>
      <c r="D27">
        <v>1.4518263924401253</v>
      </c>
      <c r="E27">
        <v>-1.322932803304866</v>
      </c>
      <c r="F27">
        <v>1.9430990505497903</v>
      </c>
      <c r="G27">
        <v>-1.6929925550357439</v>
      </c>
      <c r="H27">
        <v>-0.64611640482326038</v>
      </c>
      <c r="I27">
        <v>0.74584022513590753</v>
      </c>
      <c r="J27">
        <v>0.3422007921471959</v>
      </c>
    </row>
    <row r="28" spans="1:10">
      <c r="B28">
        <v>3</v>
      </c>
      <c r="C28">
        <v>-2.6653651730157435</v>
      </c>
      <c r="D28">
        <v>1.742137101246044</v>
      </c>
      <c r="E28">
        <v>-0.62458639149554074</v>
      </c>
      <c r="F28">
        <v>-0.24827841116348282</v>
      </c>
      <c r="G28">
        <v>0.68072040448896587</v>
      </c>
      <c r="H28">
        <v>-1.4752686183783226</v>
      </c>
      <c r="I28">
        <v>-0.67245082391309552</v>
      </c>
      <c r="J28">
        <v>-0.38915004552109167</v>
      </c>
    </row>
    <row r="29" spans="1:10">
      <c r="B29">
        <v>4</v>
      </c>
      <c r="C29">
        <v>0.24780547391856089</v>
      </c>
      <c r="D29">
        <v>-0.30239334591897205</v>
      </c>
      <c r="E29">
        <v>1.1495899343572091</v>
      </c>
      <c r="F29">
        <v>-1.6791545931482688E-2</v>
      </c>
      <c r="G29">
        <v>6.5404037741245702E-3</v>
      </c>
      <c r="H29">
        <v>-1.2994405551580712</v>
      </c>
      <c r="I29">
        <v>-0.13755652616964653</v>
      </c>
      <c r="J29">
        <v>0.26781435735756531</v>
      </c>
    </row>
    <row r="30" spans="1:10">
      <c r="A30" t="s">
        <v>1859</v>
      </c>
      <c r="B30">
        <v>1</v>
      </c>
      <c r="C30">
        <v>-0.4294133759685792</v>
      </c>
      <c r="D30">
        <v>1.4063789421925321</v>
      </c>
      <c r="E30">
        <v>1.0405074135633186</v>
      </c>
      <c r="F30">
        <v>-0.57233478401030879</v>
      </c>
      <c r="G30">
        <v>1.460439307265915</v>
      </c>
      <c r="H30">
        <v>0.90818502940237522</v>
      </c>
      <c r="I30">
        <v>-0.74483068601693958</v>
      </c>
      <c r="J30">
        <v>0.2663080067577539</v>
      </c>
    </row>
    <row r="31" spans="1:10">
      <c r="B31">
        <v>2</v>
      </c>
      <c r="C31">
        <v>0.26860789148486219</v>
      </c>
      <c r="D31">
        <v>1.0426128937979229</v>
      </c>
      <c r="E31">
        <v>1.5897967386990786</v>
      </c>
      <c r="F31">
        <v>1.7192223822348751</v>
      </c>
      <c r="G31">
        <v>-0.81279836194880772</v>
      </c>
      <c r="H31">
        <v>0.23543975657958072</v>
      </c>
      <c r="I31">
        <v>-7.3055161919910461E-3</v>
      </c>
      <c r="J31">
        <v>0.50310973165323958</v>
      </c>
    </row>
    <row r="32" spans="1:10">
      <c r="B32">
        <v>3</v>
      </c>
      <c r="C32">
        <v>0.340660335496068</v>
      </c>
      <c r="D32">
        <v>2.0745756046380848</v>
      </c>
      <c r="E32">
        <v>0.45014303395873867</v>
      </c>
      <c r="F32">
        <v>-1.0301778274879325</v>
      </c>
      <c r="G32">
        <v>-0.64122218645934481</v>
      </c>
      <c r="H32">
        <v>-0.93829157776781358</v>
      </c>
      <c r="I32">
        <v>0.26614998205332085</v>
      </c>
      <c r="J32">
        <v>0.29839156923117116</v>
      </c>
    </row>
    <row r="33" spans="1:12">
      <c r="B33">
        <v>4</v>
      </c>
      <c r="C33">
        <v>0.55833311307651456</v>
      </c>
      <c r="D33">
        <v>-0.26678435460780747</v>
      </c>
      <c r="E33">
        <v>1.098931079468457</v>
      </c>
      <c r="F33">
        <v>-1.0459098120918497</v>
      </c>
      <c r="G33">
        <v>2.0427432900760323</v>
      </c>
      <c r="H33">
        <v>0.42388251131342258</v>
      </c>
      <c r="I33">
        <v>1.2105147106922232</v>
      </c>
      <c r="J33">
        <v>-0.15077375792316161</v>
      </c>
    </row>
    <row r="35" spans="1:12">
      <c r="A35" s="11" t="s">
        <v>1087</v>
      </c>
      <c r="B35" t="s">
        <v>1086</v>
      </c>
      <c r="C35">
        <v>1</v>
      </c>
      <c r="D35">
        <v>2</v>
      </c>
      <c r="E35">
        <v>3</v>
      </c>
      <c r="F35">
        <v>4</v>
      </c>
      <c r="G35">
        <v>5</v>
      </c>
      <c r="H35">
        <v>6</v>
      </c>
      <c r="I35">
        <v>7</v>
      </c>
      <c r="J35">
        <v>8</v>
      </c>
    </row>
    <row r="36" spans="1:12">
      <c r="A36" t="s">
        <v>1858</v>
      </c>
      <c r="B36">
        <v>1</v>
      </c>
      <c r="C36" s="29">
        <f>C20+ROUND(C26,1)</f>
        <v>5.4</v>
      </c>
      <c r="D36" s="29">
        <f t="shared" ref="D36:J36" si="3">D20+ROUND(D26,1)</f>
        <v>6.4</v>
      </c>
      <c r="E36" s="29">
        <f t="shared" si="3"/>
        <v>6.6</v>
      </c>
      <c r="F36" s="29">
        <f t="shared" si="3"/>
        <v>4.2</v>
      </c>
      <c r="G36">
        <f t="shared" si="3"/>
        <v>8.6</v>
      </c>
      <c r="H36" s="29">
        <f t="shared" si="3"/>
        <v>6</v>
      </c>
      <c r="I36" s="29">
        <f t="shared" si="3"/>
        <v>6.4</v>
      </c>
      <c r="J36" s="29">
        <f t="shared" si="3"/>
        <v>5.7</v>
      </c>
    </row>
    <row r="37" spans="1:12">
      <c r="B37">
        <v>2</v>
      </c>
      <c r="C37" s="29">
        <f t="shared" ref="C37:J39" si="4">C21+ROUND(C27,1)</f>
        <v>4.7</v>
      </c>
      <c r="D37" s="29">
        <f t="shared" si="4"/>
        <v>7</v>
      </c>
      <c r="E37" s="29">
        <f t="shared" si="4"/>
        <v>4.2</v>
      </c>
      <c r="F37" s="29">
        <f t="shared" si="4"/>
        <v>6.4</v>
      </c>
      <c r="G37">
        <f t="shared" si="4"/>
        <v>4.8</v>
      </c>
      <c r="H37" s="29">
        <f t="shared" si="4"/>
        <v>4.9000000000000004</v>
      </c>
      <c r="I37" s="29">
        <f t="shared" si="4"/>
        <v>6.2</v>
      </c>
      <c r="J37" s="29">
        <f t="shared" si="4"/>
        <v>4.8</v>
      </c>
    </row>
    <row r="38" spans="1:12">
      <c r="B38">
        <v>3</v>
      </c>
      <c r="C38" s="29">
        <f t="shared" si="4"/>
        <v>3.8</v>
      </c>
      <c r="D38" s="29">
        <f t="shared" si="4"/>
        <v>7.2</v>
      </c>
      <c r="E38" s="29">
        <f t="shared" si="4"/>
        <v>4.9000000000000004</v>
      </c>
      <c r="F38" s="29">
        <f t="shared" si="4"/>
        <v>4.3</v>
      </c>
      <c r="G38">
        <f t="shared" si="4"/>
        <v>7.2</v>
      </c>
      <c r="H38" s="29">
        <f t="shared" si="4"/>
        <v>4</v>
      </c>
      <c r="I38" s="29">
        <f t="shared" si="4"/>
        <v>4.8</v>
      </c>
      <c r="J38" s="29">
        <f t="shared" si="4"/>
        <v>4.0999999999999996</v>
      </c>
    </row>
    <row r="39" spans="1:12">
      <c r="B39">
        <v>4</v>
      </c>
      <c r="C39" s="29">
        <f t="shared" si="4"/>
        <v>6.2</v>
      </c>
      <c r="D39" s="29">
        <f t="shared" si="4"/>
        <v>4.2</v>
      </c>
      <c r="E39" s="29">
        <f t="shared" si="4"/>
        <v>5.6</v>
      </c>
      <c r="F39" s="29">
        <f t="shared" si="4"/>
        <v>3</v>
      </c>
      <c r="G39">
        <f t="shared" si="4"/>
        <v>6</v>
      </c>
      <c r="H39" s="29">
        <f t="shared" si="4"/>
        <v>3.2</v>
      </c>
      <c r="I39" s="29">
        <f t="shared" si="4"/>
        <v>4.4000000000000004</v>
      </c>
      <c r="J39" s="29">
        <f t="shared" si="4"/>
        <v>3.3</v>
      </c>
    </row>
    <row r="40" spans="1:12">
      <c r="A40" t="s">
        <v>1859</v>
      </c>
      <c r="B40">
        <v>1</v>
      </c>
      <c r="C40" s="29">
        <f>C20+ROUND(C30,1)</f>
        <v>6.6</v>
      </c>
      <c r="D40" s="29">
        <f t="shared" ref="D40:J40" si="5">D20+ROUND(D30,1)</f>
        <v>7.9</v>
      </c>
      <c r="E40" s="29">
        <f t="shared" si="5"/>
        <v>7.5</v>
      </c>
      <c r="F40" s="29">
        <f t="shared" si="5"/>
        <v>5.4</v>
      </c>
      <c r="G40">
        <f t="shared" si="5"/>
        <v>8.5</v>
      </c>
      <c r="H40" s="29">
        <f t="shared" si="5"/>
        <v>7.4</v>
      </c>
      <c r="I40" s="29">
        <f t="shared" si="5"/>
        <v>5.8</v>
      </c>
      <c r="J40" s="29">
        <f t="shared" si="5"/>
        <v>6.3</v>
      </c>
    </row>
    <row r="41" spans="1:12">
      <c r="B41">
        <v>2</v>
      </c>
      <c r="C41" s="29">
        <f t="shared" ref="C41:J43" si="6">C21+ROUND(C31,1)</f>
        <v>6.8</v>
      </c>
      <c r="D41" s="29">
        <f t="shared" si="6"/>
        <v>6.5</v>
      </c>
      <c r="E41" s="29">
        <f t="shared" si="6"/>
        <v>7.1</v>
      </c>
      <c r="F41" s="29">
        <f t="shared" si="6"/>
        <v>6.2</v>
      </c>
      <c r="G41">
        <f t="shared" si="6"/>
        <v>5.7</v>
      </c>
      <c r="H41" s="29">
        <f t="shared" si="6"/>
        <v>5.7</v>
      </c>
      <c r="I41" s="29">
        <f t="shared" si="6"/>
        <v>5.5</v>
      </c>
      <c r="J41" s="29">
        <f t="shared" si="6"/>
        <v>5</v>
      </c>
    </row>
    <row r="42" spans="1:12">
      <c r="B42">
        <v>3</v>
      </c>
      <c r="C42" s="29">
        <f t="shared" si="6"/>
        <v>6.8</v>
      </c>
      <c r="D42" s="29">
        <f t="shared" si="6"/>
        <v>7.6</v>
      </c>
      <c r="E42" s="29">
        <f t="shared" si="6"/>
        <v>6</v>
      </c>
      <c r="F42" s="29">
        <f t="shared" si="6"/>
        <v>3.5</v>
      </c>
      <c r="G42">
        <f t="shared" si="6"/>
        <v>5.9</v>
      </c>
      <c r="H42" s="29">
        <f t="shared" si="6"/>
        <v>4.5999999999999996</v>
      </c>
      <c r="I42" s="29">
        <f t="shared" si="6"/>
        <v>5.8</v>
      </c>
      <c r="J42" s="29">
        <f t="shared" si="6"/>
        <v>4.8</v>
      </c>
    </row>
    <row r="43" spans="1:12">
      <c r="B43">
        <v>4</v>
      </c>
      <c r="C43" s="29">
        <f t="shared" si="6"/>
        <v>6.6</v>
      </c>
      <c r="D43" s="29">
        <f t="shared" si="6"/>
        <v>4.2</v>
      </c>
      <c r="E43" s="29">
        <f t="shared" si="6"/>
        <v>5.6</v>
      </c>
      <c r="F43" s="29">
        <f t="shared" si="6"/>
        <v>2</v>
      </c>
      <c r="G43">
        <f t="shared" si="6"/>
        <v>8</v>
      </c>
      <c r="H43" s="29">
        <f t="shared" si="6"/>
        <v>4.9000000000000004</v>
      </c>
      <c r="I43" s="29">
        <f t="shared" si="6"/>
        <v>5.7</v>
      </c>
      <c r="J43" s="29">
        <f t="shared" si="6"/>
        <v>2.8</v>
      </c>
    </row>
    <row r="45" spans="1:12">
      <c r="A45" t="s">
        <v>1860</v>
      </c>
      <c r="C45">
        <v>1</v>
      </c>
      <c r="D45">
        <v>2</v>
      </c>
      <c r="E45">
        <v>3</v>
      </c>
      <c r="F45">
        <v>4</v>
      </c>
      <c r="G45">
        <v>5</v>
      </c>
      <c r="H45">
        <v>6</v>
      </c>
      <c r="I45">
        <v>7</v>
      </c>
      <c r="J45">
        <v>8</v>
      </c>
      <c r="K45" t="s">
        <v>1088</v>
      </c>
    </row>
    <row r="46" spans="1:12">
      <c r="B46">
        <v>1</v>
      </c>
      <c r="C46" s="39">
        <f>AVERAGE(C36,C40)</f>
        <v>6</v>
      </c>
      <c r="D46" s="39">
        <f t="shared" ref="D46:J46" si="7">AVERAGE(D36,D40)</f>
        <v>7.15</v>
      </c>
      <c r="E46" s="39">
        <f t="shared" si="7"/>
        <v>7.05</v>
      </c>
      <c r="F46" s="39">
        <f t="shared" si="7"/>
        <v>4.8000000000000007</v>
      </c>
      <c r="G46" s="39">
        <f t="shared" si="7"/>
        <v>8.5500000000000007</v>
      </c>
      <c r="H46" s="39">
        <f t="shared" si="7"/>
        <v>6.7</v>
      </c>
      <c r="I46" s="39">
        <f t="shared" si="7"/>
        <v>6.1</v>
      </c>
      <c r="J46" s="39">
        <f t="shared" si="7"/>
        <v>6</v>
      </c>
      <c r="K46" s="39">
        <f>AVERAGE(C46:J46)</f>
        <v>6.5437500000000002</v>
      </c>
      <c r="L46" s="39"/>
    </row>
    <row r="47" spans="1:12">
      <c r="B47">
        <v>2</v>
      </c>
      <c r="C47" s="39">
        <f t="shared" ref="C47:J49" si="8">AVERAGE(C37,C41)</f>
        <v>5.75</v>
      </c>
      <c r="D47" s="39">
        <f t="shared" si="8"/>
        <v>6.75</v>
      </c>
      <c r="E47" s="39">
        <f t="shared" si="8"/>
        <v>5.65</v>
      </c>
      <c r="F47" s="39">
        <f t="shared" si="8"/>
        <v>6.3000000000000007</v>
      </c>
      <c r="G47" s="39">
        <f t="shared" si="8"/>
        <v>5.25</v>
      </c>
      <c r="H47" s="39">
        <f t="shared" si="8"/>
        <v>5.3000000000000007</v>
      </c>
      <c r="I47" s="39">
        <f t="shared" si="8"/>
        <v>5.85</v>
      </c>
      <c r="J47" s="39">
        <f t="shared" si="8"/>
        <v>4.9000000000000004</v>
      </c>
      <c r="K47" s="39">
        <f t="shared" ref="K47:K49" si="9">AVERAGE(C47:J47)</f>
        <v>5.71875</v>
      </c>
      <c r="L47" s="39"/>
    </row>
    <row r="48" spans="1:12">
      <c r="B48">
        <v>3</v>
      </c>
      <c r="C48" s="39">
        <f t="shared" si="8"/>
        <v>5.3</v>
      </c>
      <c r="D48" s="39">
        <f t="shared" si="8"/>
        <v>7.4</v>
      </c>
      <c r="E48" s="39">
        <f t="shared" si="8"/>
        <v>5.45</v>
      </c>
      <c r="F48" s="39">
        <f t="shared" si="8"/>
        <v>3.9</v>
      </c>
      <c r="G48" s="39">
        <f t="shared" si="8"/>
        <v>6.5500000000000007</v>
      </c>
      <c r="H48" s="39">
        <f t="shared" si="8"/>
        <v>4.3</v>
      </c>
      <c r="I48" s="39">
        <f t="shared" si="8"/>
        <v>5.3</v>
      </c>
      <c r="J48" s="39">
        <f t="shared" si="8"/>
        <v>4.4499999999999993</v>
      </c>
      <c r="K48" s="39">
        <f t="shared" si="9"/>
        <v>5.3312499999999989</v>
      </c>
      <c r="L48" s="39"/>
    </row>
    <row r="49" spans="2:13">
      <c r="B49">
        <v>4</v>
      </c>
      <c r="C49" s="39">
        <f t="shared" si="8"/>
        <v>6.4</v>
      </c>
      <c r="D49" s="39">
        <f t="shared" si="8"/>
        <v>4.2</v>
      </c>
      <c r="E49" s="39">
        <f t="shared" si="8"/>
        <v>5.6</v>
      </c>
      <c r="F49" s="39">
        <f t="shared" si="8"/>
        <v>2.5</v>
      </c>
      <c r="G49" s="39">
        <f t="shared" si="8"/>
        <v>7</v>
      </c>
      <c r="H49" s="39">
        <f t="shared" si="8"/>
        <v>4.0500000000000007</v>
      </c>
      <c r="I49" s="39">
        <f t="shared" si="8"/>
        <v>5.0500000000000007</v>
      </c>
      <c r="J49" s="39">
        <f t="shared" si="8"/>
        <v>3.05</v>
      </c>
      <c r="K49" s="39">
        <f t="shared" si="9"/>
        <v>4.7312500000000002</v>
      </c>
      <c r="L49" s="39"/>
    </row>
    <row r="50" spans="2:13">
      <c r="K50">
        <f>AVERAGE(C46:J49)</f>
        <v>5.5812500000000007</v>
      </c>
    </row>
    <row r="51" spans="2:13">
      <c r="B51" t="s">
        <v>1089</v>
      </c>
      <c r="C51">
        <v>1</v>
      </c>
      <c r="D51">
        <v>2</v>
      </c>
      <c r="E51">
        <v>3</v>
      </c>
      <c r="F51">
        <v>4</v>
      </c>
      <c r="G51">
        <v>5</v>
      </c>
      <c r="H51">
        <v>6</v>
      </c>
      <c r="I51">
        <v>7</v>
      </c>
      <c r="J51">
        <v>8</v>
      </c>
      <c r="K51" t="s">
        <v>1090</v>
      </c>
      <c r="M51" s="39"/>
    </row>
    <row r="52" spans="2:13">
      <c r="B52">
        <v>1</v>
      </c>
      <c r="C52">
        <f>C46-$K46</f>
        <v>-0.54375000000000018</v>
      </c>
      <c r="D52">
        <f t="shared" ref="D52:J52" si="10">D46-$K46</f>
        <v>0.60625000000000018</v>
      </c>
      <c r="E52">
        <f t="shared" si="10"/>
        <v>0.50624999999999964</v>
      </c>
      <c r="F52">
        <f t="shared" si="10"/>
        <v>-1.7437499999999995</v>
      </c>
      <c r="G52">
        <f t="shared" si="10"/>
        <v>2.0062500000000005</v>
      </c>
      <c r="H52">
        <f t="shared" si="10"/>
        <v>0.15625</v>
      </c>
      <c r="I52">
        <f t="shared" si="10"/>
        <v>-0.44375000000000053</v>
      </c>
      <c r="J52">
        <f t="shared" si="10"/>
        <v>-0.54375000000000018</v>
      </c>
      <c r="K52">
        <f>K46-$K$50</f>
        <v>0.96249999999999947</v>
      </c>
      <c r="M52" s="39"/>
    </row>
    <row r="53" spans="2:13">
      <c r="B53">
        <v>2</v>
      </c>
      <c r="C53">
        <f t="shared" ref="C53:J55" si="11">C47-$K47</f>
        <v>3.125E-2</v>
      </c>
      <c r="D53">
        <f t="shared" si="11"/>
        <v>1.03125</v>
      </c>
      <c r="E53">
        <f t="shared" si="11"/>
        <v>-6.8749999999999645E-2</v>
      </c>
      <c r="F53">
        <f t="shared" si="11"/>
        <v>0.58125000000000071</v>
      </c>
      <c r="G53">
        <f t="shared" si="11"/>
        <v>-0.46875</v>
      </c>
      <c r="H53">
        <f t="shared" si="11"/>
        <v>-0.41874999999999929</v>
      </c>
      <c r="I53">
        <f t="shared" si="11"/>
        <v>0.13124999999999964</v>
      </c>
      <c r="J53">
        <f t="shared" si="11"/>
        <v>-0.81874999999999964</v>
      </c>
      <c r="K53">
        <f t="shared" ref="K53:K55" si="12">K47-$K$50</f>
        <v>0.13749999999999929</v>
      </c>
      <c r="M53" s="39"/>
    </row>
    <row r="54" spans="2:13">
      <c r="B54">
        <v>3</v>
      </c>
      <c r="C54" s="39">
        <f t="shared" si="11"/>
        <v>-3.1249999999999112E-2</v>
      </c>
      <c r="D54" s="39">
        <f t="shared" si="11"/>
        <v>2.0687500000000014</v>
      </c>
      <c r="E54" s="39">
        <f t="shared" si="11"/>
        <v>0.11875000000000124</v>
      </c>
      <c r="F54" s="39">
        <f t="shared" si="11"/>
        <v>-1.431249999999999</v>
      </c>
      <c r="G54" s="39">
        <f t="shared" si="11"/>
        <v>1.2187500000000018</v>
      </c>
      <c r="H54" s="39">
        <f t="shared" si="11"/>
        <v>-1.0312499999999991</v>
      </c>
      <c r="I54" s="39">
        <f t="shared" si="11"/>
        <v>-3.1249999999999112E-2</v>
      </c>
      <c r="J54" s="39">
        <f t="shared" si="11"/>
        <v>-0.88124999999999964</v>
      </c>
      <c r="K54" s="39">
        <f t="shared" si="12"/>
        <v>-0.25000000000000178</v>
      </c>
      <c r="L54" s="39"/>
      <c r="M54" s="39"/>
    </row>
    <row r="55" spans="2:13">
      <c r="B55">
        <v>4</v>
      </c>
      <c r="C55">
        <f t="shared" si="11"/>
        <v>1.6687500000000002</v>
      </c>
      <c r="D55">
        <f t="shared" si="11"/>
        <v>-0.53125</v>
      </c>
      <c r="E55">
        <f t="shared" si="11"/>
        <v>0.86874999999999947</v>
      </c>
      <c r="F55">
        <f t="shared" si="11"/>
        <v>-2.2312500000000002</v>
      </c>
      <c r="G55">
        <f t="shared" si="11"/>
        <v>2.2687499999999998</v>
      </c>
      <c r="H55">
        <f t="shared" si="11"/>
        <v>-0.68124999999999947</v>
      </c>
      <c r="I55">
        <f t="shared" si="11"/>
        <v>0.31875000000000053</v>
      </c>
      <c r="J55">
        <f t="shared" si="11"/>
        <v>-1.6812500000000004</v>
      </c>
      <c r="K55">
        <f t="shared" si="12"/>
        <v>-0.85000000000000053</v>
      </c>
    </row>
    <row r="57" spans="2:13">
      <c r="B57" t="s">
        <v>1091</v>
      </c>
      <c r="C57" t="s">
        <v>1092</v>
      </c>
      <c r="D57" t="s">
        <v>1093</v>
      </c>
      <c r="E57" t="s">
        <v>1094</v>
      </c>
      <c r="F57" t="s">
        <v>1095</v>
      </c>
      <c r="G57" t="s">
        <v>1096</v>
      </c>
    </row>
    <row r="58" spans="2:13">
      <c r="B58" t="s">
        <v>1097</v>
      </c>
      <c r="C58">
        <v>3</v>
      </c>
      <c r="D58" s="13">
        <f>SUMSQ(K52:K55)*16</f>
        <v>27.685000000000009</v>
      </c>
      <c r="E58" s="13">
        <f>D58/C58</f>
        <v>9.2283333333333371</v>
      </c>
      <c r="F58" s="13">
        <f>E58/E60</f>
        <v>12.23815444122112</v>
      </c>
      <c r="G58">
        <f>_xlfn.F.DIST.RT(F58,C58,C60)</f>
        <v>1.6933884345507091E-5</v>
      </c>
    </row>
    <row r="59" spans="2:13">
      <c r="B59" t="s">
        <v>1098</v>
      </c>
      <c r="C59">
        <v>28</v>
      </c>
      <c r="D59" s="13">
        <f>SUMSQ(C52:J55)*2</f>
        <v>76.002500000000012</v>
      </c>
      <c r="E59" s="13">
        <f t="shared" ref="E59:E60" si="13">D59/C59</f>
        <v>2.7143750000000004</v>
      </c>
      <c r="F59" s="13">
        <f>E59/E60</f>
        <v>3.5996684624948063</v>
      </c>
      <c r="G59">
        <f>_xlfn.F.DIST.RT(F59,C59,C60)</f>
        <v>3.1795707389496323E-4</v>
      </c>
    </row>
    <row r="60" spans="2:13">
      <c r="B60" t="s">
        <v>1099</v>
      </c>
      <c r="C60">
        <f>C61-C58-C59</f>
        <v>32</v>
      </c>
      <c r="D60" s="13">
        <f>D61-D58-D59</f>
        <v>24.130000000000095</v>
      </c>
      <c r="E60" s="13">
        <f t="shared" si="13"/>
        <v>0.75406250000000297</v>
      </c>
      <c r="F60" s="13"/>
    </row>
    <row r="61" spans="2:13">
      <c r="B61" t="s">
        <v>1100</v>
      </c>
      <c r="C61">
        <v>63</v>
      </c>
      <c r="D61" s="13">
        <f>SUMSQ(C36:J43)-64*K50^2</f>
        <v>127.81750000000011</v>
      </c>
      <c r="E61" s="13"/>
      <c r="F61" s="13"/>
    </row>
    <row r="62" spans="2:13">
      <c r="D62" s="13"/>
      <c r="E62" s="13"/>
      <c r="F62" s="13"/>
    </row>
    <row r="63" spans="2:13" ht="16.8">
      <c r="C63" t="s">
        <v>1101</v>
      </c>
      <c r="D63" t="s">
        <v>1102</v>
      </c>
      <c r="E63" t="s">
        <v>1103</v>
      </c>
      <c r="F63" t="s">
        <v>1104</v>
      </c>
      <c r="G63" t="s">
        <v>1105</v>
      </c>
      <c r="H63" t="s">
        <v>1106</v>
      </c>
      <c r="I63" t="s">
        <v>1107</v>
      </c>
    </row>
    <row r="64" spans="2:13">
      <c r="B64" s="59" t="s">
        <v>1108</v>
      </c>
      <c r="C64" s="13">
        <f>E60</f>
        <v>0.75406250000000297</v>
      </c>
      <c r="D64" s="13">
        <f>(E58-E60)/16</f>
        <v>0.52964192708333335</v>
      </c>
      <c r="E64" s="13">
        <f>(E59-E60)/2</f>
        <v>0.98015624999999873</v>
      </c>
      <c r="F64" s="13">
        <f>4*D64</f>
        <v>2.1185677083333334</v>
      </c>
      <c r="G64" s="13">
        <f>4*(E64-D64)</f>
        <v>1.8020572916666615</v>
      </c>
      <c r="H64" s="13">
        <f>F64/SUM(C64,F64,G64)</f>
        <v>0.45319985738797181</v>
      </c>
      <c r="I64" s="13">
        <f>(F64+G64)/SUM(C64,F64,G64)</f>
        <v>0.83869242596430182</v>
      </c>
    </row>
    <row r="65" spans="1:13">
      <c r="B65" t="s">
        <v>1109</v>
      </c>
      <c r="C65" s="13">
        <f>E60</f>
        <v>0.75406250000000297</v>
      </c>
      <c r="D65" s="13">
        <f>(E58-E59)/16</f>
        <v>0.40712239583333354</v>
      </c>
      <c r="E65" s="13">
        <f>(E59-E60)/2</f>
        <v>0.98015624999999873</v>
      </c>
      <c r="F65" s="13">
        <f>4*D65</f>
        <v>1.6284895833333342</v>
      </c>
      <c r="G65" s="13">
        <f>4*(E65-D65)</f>
        <v>2.2921354166666608</v>
      </c>
      <c r="H65" s="13">
        <f>F65/SUM(C65,F65,G65)</f>
        <v>0.3483633041424341</v>
      </c>
      <c r="I65" s="13">
        <f>(F65+G65)/SUM(C65,F65,G65)</f>
        <v>0.83869242596430182</v>
      </c>
    </row>
    <row r="67" spans="1:13">
      <c r="A67" s="11" t="s">
        <v>1110</v>
      </c>
      <c r="C67">
        <v>1</v>
      </c>
      <c r="D67">
        <v>2</v>
      </c>
      <c r="E67">
        <v>3</v>
      </c>
      <c r="F67">
        <v>4</v>
      </c>
      <c r="G67">
        <v>5</v>
      </c>
      <c r="H67">
        <v>6</v>
      </c>
      <c r="I67">
        <v>7</v>
      </c>
      <c r="J67">
        <v>8</v>
      </c>
      <c r="K67" t="s">
        <v>1111</v>
      </c>
    </row>
    <row r="68" spans="1:13">
      <c r="B68">
        <v>1</v>
      </c>
      <c r="C68" s="39">
        <f>AVERAGE(C36,C40)</f>
        <v>6</v>
      </c>
      <c r="D68" s="39">
        <f t="shared" ref="D68:J68" si="14">AVERAGE(D36,D40)</f>
        <v>7.15</v>
      </c>
      <c r="E68" s="39">
        <f t="shared" si="14"/>
        <v>7.05</v>
      </c>
      <c r="F68" s="39">
        <f t="shared" si="14"/>
        <v>4.8000000000000007</v>
      </c>
      <c r="G68" s="39">
        <f t="shared" si="14"/>
        <v>8.5500000000000007</v>
      </c>
      <c r="H68" s="39">
        <f t="shared" si="14"/>
        <v>6.7</v>
      </c>
      <c r="I68" s="39">
        <f t="shared" si="14"/>
        <v>6.1</v>
      </c>
      <c r="J68" s="39">
        <f t="shared" si="14"/>
        <v>6</v>
      </c>
      <c r="K68" s="39">
        <f>AVERAGE(C68:J68)</f>
        <v>6.5437500000000002</v>
      </c>
      <c r="L68" s="39"/>
    </row>
    <row r="69" spans="1:13">
      <c r="B69">
        <v>2</v>
      </c>
      <c r="C69" s="39">
        <f>AVERAGE(C37,C41)</f>
        <v>5.75</v>
      </c>
      <c r="D69" s="39">
        <f t="shared" ref="D69:J71" si="15">AVERAGE(D37,D41)</f>
        <v>6.75</v>
      </c>
      <c r="E69" s="39">
        <f t="shared" si="15"/>
        <v>5.65</v>
      </c>
      <c r="F69" s="39">
        <f t="shared" si="15"/>
        <v>6.3000000000000007</v>
      </c>
      <c r="G69" s="39">
        <f t="shared" si="15"/>
        <v>5.25</v>
      </c>
      <c r="H69" s="39">
        <f t="shared" si="15"/>
        <v>5.3000000000000007</v>
      </c>
      <c r="I69" s="39">
        <f t="shared" si="15"/>
        <v>5.85</v>
      </c>
      <c r="J69" s="39">
        <f t="shared" si="15"/>
        <v>4.9000000000000004</v>
      </c>
      <c r="K69" s="39">
        <f t="shared" ref="K69:K71" si="16">AVERAGE(C69:J69)</f>
        <v>5.71875</v>
      </c>
      <c r="L69" s="39"/>
    </row>
    <row r="70" spans="1:13">
      <c r="B70">
        <v>3</v>
      </c>
      <c r="C70" s="39">
        <f>AVERAGE(C38,C42)</f>
        <v>5.3</v>
      </c>
      <c r="D70" s="39">
        <f t="shared" si="15"/>
        <v>7.4</v>
      </c>
      <c r="E70" s="39">
        <f t="shared" si="15"/>
        <v>5.45</v>
      </c>
      <c r="F70" s="39">
        <f t="shared" si="15"/>
        <v>3.9</v>
      </c>
      <c r="G70" s="39">
        <f t="shared" si="15"/>
        <v>6.5500000000000007</v>
      </c>
      <c r="H70" s="39">
        <f t="shared" si="15"/>
        <v>4.3</v>
      </c>
      <c r="I70" s="39">
        <f t="shared" si="15"/>
        <v>5.3</v>
      </c>
      <c r="J70" s="39">
        <f t="shared" si="15"/>
        <v>4.4499999999999993</v>
      </c>
      <c r="K70" s="39">
        <f t="shared" si="16"/>
        <v>5.3312499999999989</v>
      </c>
      <c r="L70" s="39"/>
    </row>
    <row r="71" spans="1:13">
      <c r="B71">
        <v>4</v>
      </c>
      <c r="C71" s="39">
        <f>AVERAGE(C39,C43)</f>
        <v>6.4</v>
      </c>
      <c r="D71" s="39">
        <f t="shared" si="15"/>
        <v>4.2</v>
      </c>
      <c r="E71" s="39">
        <f t="shared" si="15"/>
        <v>5.6</v>
      </c>
      <c r="F71" s="39">
        <f t="shared" si="15"/>
        <v>2.5</v>
      </c>
      <c r="G71" s="39">
        <f t="shared" si="15"/>
        <v>7</v>
      </c>
      <c r="H71" s="39">
        <f t="shared" si="15"/>
        <v>4.0500000000000007</v>
      </c>
      <c r="I71" s="39">
        <f t="shared" si="15"/>
        <v>5.0500000000000007</v>
      </c>
      <c r="J71" s="39">
        <f t="shared" si="15"/>
        <v>3.05</v>
      </c>
      <c r="K71" s="39">
        <f t="shared" si="16"/>
        <v>4.7312500000000002</v>
      </c>
      <c r="L71" s="39"/>
    </row>
    <row r="72" spans="1:13">
      <c r="B72" t="s">
        <v>1112</v>
      </c>
      <c r="C72" s="39">
        <f>AVERAGE(C68:C71)</f>
        <v>5.8625000000000007</v>
      </c>
      <c r="D72" s="39">
        <f t="shared" ref="D72:J72" si="17">AVERAGE(D68:D71)</f>
        <v>6.375</v>
      </c>
      <c r="E72" s="39">
        <f t="shared" si="17"/>
        <v>5.9375</v>
      </c>
      <c r="F72" s="39">
        <f t="shared" si="17"/>
        <v>4.375</v>
      </c>
      <c r="G72">
        <f t="shared" si="17"/>
        <v>6.8375000000000004</v>
      </c>
      <c r="H72" s="39">
        <f t="shared" si="17"/>
        <v>5.0875000000000004</v>
      </c>
      <c r="I72" s="39">
        <f t="shared" si="17"/>
        <v>5.5750000000000002</v>
      </c>
      <c r="J72" s="39">
        <f t="shared" si="17"/>
        <v>4.5999999999999996</v>
      </c>
      <c r="K72" s="39">
        <f>AVERAGE(C68:J71)</f>
        <v>5.5812500000000007</v>
      </c>
    </row>
    <row r="73" spans="1:13">
      <c r="B73" t="s">
        <v>1113</v>
      </c>
      <c r="C73">
        <v>1</v>
      </c>
      <c r="D73">
        <v>2</v>
      </c>
      <c r="E73">
        <v>3</v>
      </c>
      <c r="F73">
        <v>4</v>
      </c>
      <c r="G73">
        <v>5</v>
      </c>
      <c r="H73">
        <v>6</v>
      </c>
      <c r="I73">
        <v>7</v>
      </c>
      <c r="J73">
        <v>8</v>
      </c>
      <c r="K73" t="s">
        <v>1114</v>
      </c>
      <c r="M73" s="39"/>
    </row>
    <row r="74" spans="1:13">
      <c r="B74">
        <v>1</v>
      </c>
      <c r="C74" s="39">
        <f>C68-$K$72-$K74-C$78</f>
        <v>-0.82500000000000018</v>
      </c>
      <c r="D74" s="39">
        <f t="shared" ref="D74:J74" si="18">D68-$K$72-$K74-D$78</f>
        <v>-0.18749999999999911</v>
      </c>
      <c r="E74" s="39">
        <f t="shared" si="18"/>
        <v>0.15000000000000036</v>
      </c>
      <c r="F74" s="39">
        <f t="shared" si="18"/>
        <v>-0.53749999999999876</v>
      </c>
      <c r="G74">
        <f t="shared" si="18"/>
        <v>0.75000000000000089</v>
      </c>
      <c r="H74" s="39">
        <f t="shared" si="18"/>
        <v>0.65000000000000036</v>
      </c>
      <c r="I74" s="39">
        <f t="shared" si="18"/>
        <v>-0.4375</v>
      </c>
      <c r="J74" s="39">
        <f t="shared" si="18"/>
        <v>0.43750000000000089</v>
      </c>
      <c r="K74" s="39">
        <f>K68-$K$72</f>
        <v>0.96249999999999947</v>
      </c>
      <c r="M74" s="39"/>
    </row>
    <row r="75" spans="1:13">
      <c r="B75">
        <v>2</v>
      </c>
      <c r="C75" s="39">
        <f t="shared" ref="C75:J77" si="19">C69-$K$72-$K75-C$78</f>
        <v>-0.25</v>
      </c>
      <c r="D75" s="39">
        <f t="shared" si="19"/>
        <v>0.23750000000000071</v>
      </c>
      <c r="E75" s="39">
        <f t="shared" si="19"/>
        <v>-0.42499999999999893</v>
      </c>
      <c r="F75" s="39">
        <f t="shared" si="19"/>
        <v>1.7875000000000014</v>
      </c>
      <c r="G75">
        <f t="shared" si="19"/>
        <v>-1.7249999999999996</v>
      </c>
      <c r="H75" s="39">
        <f t="shared" si="19"/>
        <v>7.5000000000001066E-2</v>
      </c>
      <c r="I75" s="39">
        <f t="shared" si="19"/>
        <v>0.13750000000000018</v>
      </c>
      <c r="J75" s="39">
        <f t="shared" si="19"/>
        <v>0.16250000000000142</v>
      </c>
      <c r="K75" s="39">
        <f>K69-$K$72</f>
        <v>0.13749999999999929</v>
      </c>
      <c r="M75" s="39"/>
    </row>
    <row r="76" spans="1:13">
      <c r="B76">
        <v>3</v>
      </c>
      <c r="C76" s="39">
        <f t="shared" si="19"/>
        <v>-0.31249999999999911</v>
      </c>
      <c r="D76" s="39">
        <f t="shared" si="19"/>
        <v>1.2750000000000021</v>
      </c>
      <c r="E76" s="39">
        <f t="shared" si="19"/>
        <v>-0.23749999999999805</v>
      </c>
      <c r="F76" s="39">
        <f t="shared" si="19"/>
        <v>-0.22499999999999831</v>
      </c>
      <c r="G76" s="39">
        <f t="shared" si="19"/>
        <v>-3.7499999999997868E-2</v>
      </c>
      <c r="H76" s="39">
        <f t="shared" si="19"/>
        <v>-0.53749999999999876</v>
      </c>
      <c r="I76" s="39">
        <f t="shared" si="19"/>
        <v>-2.4999999999998579E-2</v>
      </c>
      <c r="J76" s="39">
        <f t="shared" si="19"/>
        <v>0.10000000000000142</v>
      </c>
      <c r="K76" s="39">
        <f>K70-$K$72</f>
        <v>-0.25000000000000178</v>
      </c>
      <c r="L76" s="39"/>
      <c r="M76" s="39"/>
    </row>
    <row r="77" spans="1:13">
      <c r="B77">
        <v>4</v>
      </c>
      <c r="C77" s="39">
        <f t="shared" si="19"/>
        <v>1.3875000000000002</v>
      </c>
      <c r="D77" s="39">
        <f t="shared" si="19"/>
        <v>-1.3249999999999993</v>
      </c>
      <c r="E77" s="39">
        <f t="shared" si="19"/>
        <v>0.51250000000000018</v>
      </c>
      <c r="F77" s="39">
        <f t="shared" si="19"/>
        <v>-1.0249999999999995</v>
      </c>
      <c r="G77">
        <f t="shared" si="19"/>
        <v>1.0125000000000002</v>
      </c>
      <c r="H77" s="39">
        <f t="shared" si="19"/>
        <v>-0.18749999999999911</v>
      </c>
      <c r="I77" s="39">
        <f t="shared" si="19"/>
        <v>0.32500000000000107</v>
      </c>
      <c r="J77" s="39">
        <f t="shared" si="19"/>
        <v>-0.69999999999999929</v>
      </c>
      <c r="K77" s="39">
        <f>K71-$K$72</f>
        <v>-0.85000000000000053</v>
      </c>
    </row>
    <row r="78" spans="1:13">
      <c r="B78" t="s">
        <v>1115</v>
      </c>
      <c r="C78" s="39">
        <f>C72-$K$72</f>
        <v>0.28125</v>
      </c>
      <c r="D78" s="39">
        <f t="shared" ref="D78:J78" si="20">D72-$K$72</f>
        <v>0.79374999999999929</v>
      </c>
      <c r="E78" s="39">
        <f t="shared" si="20"/>
        <v>0.35624999999999929</v>
      </c>
      <c r="F78" s="39">
        <f t="shared" si="20"/>
        <v>-1.2062500000000007</v>
      </c>
      <c r="G78">
        <f t="shared" si="20"/>
        <v>1.2562499999999996</v>
      </c>
      <c r="H78" s="39">
        <f t="shared" si="20"/>
        <v>-0.49375000000000036</v>
      </c>
      <c r="I78" s="39">
        <f t="shared" si="20"/>
        <v>-6.2500000000005329E-3</v>
      </c>
      <c r="J78" s="39">
        <f t="shared" si="20"/>
        <v>-0.98125000000000107</v>
      </c>
      <c r="K78" s="39"/>
    </row>
    <row r="80" spans="1:13">
      <c r="B80" t="s">
        <v>1116</v>
      </c>
      <c r="C80" t="s">
        <v>1117</v>
      </c>
      <c r="D80" t="s">
        <v>1118</v>
      </c>
      <c r="E80" t="s">
        <v>1119</v>
      </c>
      <c r="F80" t="s">
        <v>1120</v>
      </c>
      <c r="G80" t="s">
        <v>1121</v>
      </c>
    </row>
    <row r="81" spans="1:13">
      <c r="B81" t="s">
        <v>1122</v>
      </c>
      <c r="C81">
        <v>3</v>
      </c>
      <c r="D81" s="13">
        <f>SUMSQ(K74:K77)*16</f>
        <v>27.685000000000009</v>
      </c>
      <c r="E81" s="13">
        <f>D81/C81</f>
        <v>9.2283333333333371</v>
      </c>
      <c r="F81" s="13">
        <f>E81/E84</f>
        <v>12.238154441221123</v>
      </c>
      <c r="G81">
        <f>_xlfn.F.DIST.RT(F81,C81,C84)</f>
        <v>1.6933884345507033E-5</v>
      </c>
    </row>
    <row r="82" spans="1:13">
      <c r="B82" t="s">
        <v>1123</v>
      </c>
      <c r="C82">
        <v>7</v>
      </c>
      <c r="D82" s="13">
        <f>SUMSQ(C78:J78)*8</f>
        <v>40.607500000000009</v>
      </c>
      <c r="E82" s="13">
        <f>SUMSQ(D78:K78)*8</f>
        <v>39.974687500000009</v>
      </c>
      <c r="F82" s="13">
        <f>E82/E84</f>
        <v>53.012432656444076</v>
      </c>
      <c r="G82">
        <f>_xlfn.F.DIST.RT(F82,C82,C85)</f>
        <v>5.1721467066703955E-24</v>
      </c>
    </row>
    <row r="83" spans="1:13">
      <c r="B83" t="s">
        <v>1124</v>
      </c>
      <c r="C83">
        <v>21</v>
      </c>
      <c r="D83" s="13">
        <f>SUMSQ(C74:J77)*2</f>
        <v>35.39500000000001</v>
      </c>
      <c r="E83" s="13">
        <f t="shared" ref="E83:E84" si="21">D83/C83</f>
        <v>1.685476190476191</v>
      </c>
      <c r="F83" s="13">
        <f>E83/E84</f>
        <v>2.2351942849249031</v>
      </c>
      <c r="G83">
        <f>_xlfn.F.DIST.RT(F83,C83,C84)</f>
        <v>1.9551095935462604E-2</v>
      </c>
    </row>
    <row r="84" spans="1:13">
      <c r="B84" t="s">
        <v>1125</v>
      </c>
      <c r="C84">
        <f>C85-C81-C82-C83</f>
        <v>32</v>
      </c>
      <c r="D84" s="13">
        <f>D85-D81-D82-D83</f>
        <v>24.130000000000088</v>
      </c>
      <c r="E84" s="13">
        <f t="shared" si="21"/>
        <v>0.75406250000000274</v>
      </c>
      <c r="F84" s="13"/>
    </row>
    <row r="85" spans="1:13">
      <c r="B85" t="s">
        <v>1126</v>
      </c>
      <c r="C85">
        <v>63</v>
      </c>
      <c r="D85" s="13">
        <f>SUMSQ(C36:J43)-64*K72^2</f>
        <v>127.81750000000011</v>
      </c>
      <c r="E85" s="13"/>
      <c r="F85" s="13"/>
    </row>
    <row r="86" spans="1:13" ht="16.8">
      <c r="C86" t="s">
        <v>1127</v>
      </c>
      <c r="D86" t="s">
        <v>1128</v>
      </c>
      <c r="E86" t="s">
        <v>1129</v>
      </c>
      <c r="F86" t="s">
        <v>1130</v>
      </c>
      <c r="G86" t="s">
        <v>1131</v>
      </c>
      <c r="H86" t="s">
        <v>1132</v>
      </c>
      <c r="I86" t="s">
        <v>1133</v>
      </c>
      <c r="J86" t="s">
        <v>1134</v>
      </c>
    </row>
    <row r="87" spans="1:13">
      <c r="B87" s="11" t="s">
        <v>1135</v>
      </c>
      <c r="C87" s="13">
        <f>E84</f>
        <v>0.75406250000000274</v>
      </c>
      <c r="D87" s="13">
        <f>(E81-E84)/16</f>
        <v>0.52964192708333335</v>
      </c>
      <c r="E87" s="13">
        <f>(E82-E84)/8</f>
        <v>4.9025781250000007</v>
      </c>
      <c r="F87" s="13">
        <f>(E83-E84)/2</f>
        <v>0.46570684523809414</v>
      </c>
      <c r="G87" s="13">
        <f>2*(D87+E87)</f>
        <v>10.864440104166668</v>
      </c>
      <c r="H87" s="13">
        <f>4*F87</f>
        <v>1.8628273809523765</v>
      </c>
      <c r="I87" s="13">
        <f>G87/SUM(C87,G87,H87)</f>
        <v>0.80588785499346482</v>
      </c>
      <c r="J87" s="13">
        <f>(G87+H87)/SUM(C87,G87,H87)</f>
        <v>0.94406616403334442</v>
      </c>
    </row>
    <row r="88" spans="1:13">
      <c r="B88" t="s">
        <v>1136</v>
      </c>
      <c r="C88" s="13">
        <f>E84</f>
        <v>0.75406250000000274</v>
      </c>
      <c r="D88" s="13">
        <f>(E81-E83)/16</f>
        <v>0.47142857142857164</v>
      </c>
      <c r="E88" s="13">
        <f>(E82-E84)/8</f>
        <v>4.9025781250000007</v>
      </c>
      <c r="F88" s="13">
        <f>(E83-E84)/2</f>
        <v>0.46570684523809414</v>
      </c>
      <c r="G88" s="13">
        <f>2*(D88+E88)</f>
        <v>10.748013392857144</v>
      </c>
      <c r="H88" s="13">
        <f>4*F88</f>
        <v>1.8628273809523765</v>
      </c>
      <c r="I88" s="13">
        <f>G88/SUM(C88,G88,H88)</f>
        <v>0.80419687091334535</v>
      </c>
      <c r="J88" s="13">
        <f>(G88+H88)/SUM(C88,G88,H88)</f>
        <v>0.94357890329983163</v>
      </c>
    </row>
    <row r="90" spans="1:13">
      <c r="A90" s="11" t="s">
        <v>1137</v>
      </c>
      <c r="C90">
        <v>1</v>
      </c>
      <c r="D90">
        <v>2</v>
      </c>
      <c r="E90">
        <v>3</v>
      </c>
      <c r="F90">
        <v>4</v>
      </c>
      <c r="G90">
        <v>5</v>
      </c>
      <c r="H90">
        <v>6</v>
      </c>
      <c r="I90">
        <v>7</v>
      </c>
      <c r="J90">
        <v>8</v>
      </c>
    </row>
    <row r="91" spans="1:13">
      <c r="B91">
        <v>1</v>
      </c>
      <c r="C91" s="39">
        <f>AVERAGE(C36,C40)</f>
        <v>6</v>
      </c>
      <c r="D91" s="39">
        <f t="shared" ref="D91:J91" si="22">AVERAGE(D36,D40)</f>
        <v>7.15</v>
      </c>
      <c r="E91" s="39">
        <f t="shared" si="22"/>
        <v>7.05</v>
      </c>
      <c r="F91" s="39">
        <f t="shared" si="22"/>
        <v>4.8000000000000007</v>
      </c>
      <c r="G91" s="39">
        <f t="shared" si="22"/>
        <v>8.5500000000000007</v>
      </c>
      <c r="H91" s="39">
        <f t="shared" si="22"/>
        <v>6.7</v>
      </c>
      <c r="I91" s="39">
        <f t="shared" si="22"/>
        <v>6.1</v>
      </c>
      <c r="J91" s="39">
        <f t="shared" si="22"/>
        <v>6</v>
      </c>
      <c r="K91" s="39"/>
      <c r="L91" s="39"/>
    </row>
    <row r="92" spans="1:13">
      <c r="B92">
        <v>2</v>
      </c>
      <c r="C92" s="39">
        <f>AVERAGE(C37,C41)</f>
        <v>5.75</v>
      </c>
      <c r="D92" s="39">
        <f t="shared" ref="D92:J94" si="23">AVERAGE(D37,D41)</f>
        <v>6.75</v>
      </c>
      <c r="E92" s="39">
        <f t="shared" si="23"/>
        <v>5.65</v>
      </c>
      <c r="F92" s="39">
        <f t="shared" si="23"/>
        <v>6.3000000000000007</v>
      </c>
      <c r="G92" s="39">
        <f t="shared" si="23"/>
        <v>5.25</v>
      </c>
      <c r="H92" s="39">
        <f t="shared" si="23"/>
        <v>5.3000000000000007</v>
      </c>
      <c r="I92" s="39">
        <f t="shared" si="23"/>
        <v>5.85</v>
      </c>
      <c r="J92" s="39">
        <f t="shared" si="23"/>
        <v>4.9000000000000004</v>
      </c>
      <c r="K92" s="39"/>
      <c r="L92" s="39"/>
    </row>
    <row r="93" spans="1:13">
      <c r="B93">
        <v>3</v>
      </c>
      <c r="C93" s="39">
        <f>AVERAGE(C38,C42)</f>
        <v>5.3</v>
      </c>
      <c r="D93" s="39">
        <f t="shared" si="23"/>
        <v>7.4</v>
      </c>
      <c r="E93" s="39">
        <f t="shared" si="23"/>
        <v>5.45</v>
      </c>
      <c r="F93" s="39">
        <f t="shared" si="23"/>
        <v>3.9</v>
      </c>
      <c r="G93" s="39">
        <f t="shared" si="23"/>
        <v>6.5500000000000007</v>
      </c>
      <c r="H93" s="39">
        <f t="shared" si="23"/>
        <v>4.3</v>
      </c>
      <c r="I93" s="39">
        <f t="shared" si="23"/>
        <v>5.3</v>
      </c>
      <c r="J93" s="39">
        <f t="shared" si="23"/>
        <v>4.4499999999999993</v>
      </c>
      <c r="K93" s="39"/>
      <c r="L93" s="39"/>
    </row>
    <row r="94" spans="1:13">
      <c r="B94">
        <v>4</v>
      </c>
      <c r="C94" s="39">
        <f>AVERAGE(C39,C43)</f>
        <v>6.4</v>
      </c>
      <c r="D94" s="39">
        <f t="shared" si="23"/>
        <v>4.2</v>
      </c>
      <c r="E94" s="39">
        <f t="shared" si="23"/>
        <v>5.6</v>
      </c>
      <c r="F94" s="39">
        <f t="shared" si="23"/>
        <v>2.5</v>
      </c>
      <c r="G94" s="39">
        <f t="shared" si="23"/>
        <v>7</v>
      </c>
      <c r="H94" s="39">
        <f t="shared" si="23"/>
        <v>4.0500000000000007</v>
      </c>
      <c r="I94" s="39">
        <f t="shared" si="23"/>
        <v>5.0500000000000007</v>
      </c>
      <c r="J94" s="39">
        <f t="shared" si="23"/>
        <v>3.05</v>
      </c>
      <c r="K94" s="39"/>
      <c r="L94" s="39"/>
    </row>
    <row r="95" spans="1:13">
      <c r="C95" s="39"/>
      <c r="D95" s="39"/>
      <c r="E95" s="39"/>
      <c r="F95" s="39"/>
      <c r="H95" s="39"/>
      <c r="I95" s="39"/>
      <c r="J95" s="39"/>
      <c r="K95" s="39">
        <f>AVERAGE(C91:J94)</f>
        <v>5.5812500000000007</v>
      </c>
    </row>
    <row r="96" spans="1:13">
      <c r="B96" t="s">
        <v>1138</v>
      </c>
      <c r="C96">
        <v>1</v>
      </c>
      <c r="D96">
        <v>2</v>
      </c>
      <c r="E96">
        <v>3</v>
      </c>
      <c r="F96">
        <v>4</v>
      </c>
      <c r="G96">
        <v>5</v>
      </c>
      <c r="H96">
        <v>6</v>
      </c>
      <c r="I96">
        <v>7</v>
      </c>
      <c r="J96">
        <v>8</v>
      </c>
      <c r="M96" s="39"/>
    </row>
    <row r="97" spans="1:13">
      <c r="B97">
        <v>1</v>
      </c>
      <c r="C97" s="39">
        <f>C91-$K$95</f>
        <v>0.41874999999999929</v>
      </c>
      <c r="D97" s="39">
        <f t="shared" ref="D97:J97" si="24">D91-$K$95</f>
        <v>1.5687499999999996</v>
      </c>
      <c r="E97" s="39">
        <f t="shared" si="24"/>
        <v>1.4687499999999991</v>
      </c>
      <c r="F97" s="39">
        <f t="shared" si="24"/>
        <v>-0.78125</v>
      </c>
      <c r="G97" s="39">
        <f t="shared" si="24"/>
        <v>2.96875</v>
      </c>
      <c r="H97" s="39">
        <f t="shared" si="24"/>
        <v>1.1187499999999995</v>
      </c>
      <c r="I97" s="39">
        <f t="shared" si="24"/>
        <v>0.51874999999999893</v>
      </c>
      <c r="J97" s="39">
        <f t="shared" si="24"/>
        <v>0.41874999999999929</v>
      </c>
      <c r="K97" s="39"/>
      <c r="M97" s="39"/>
    </row>
    <row r="98" spans="1:13">
      <c r="B98">
        <v>2</v>
      </c>
      <c r="C98" s="39">
        <f t="shared" ref="C98:J100" si="25">C92-$K$95</f>
        <v>0.16874999999999929</v>
      </c>
      <c r="D98" s="39">
        <f t="shared" si="25"/>
        <v>1.1687499999999993</v>
      </c>
      <c r="E98" s="39">
        <f t="shared" si="25"/>
        <v>6.8749999999999645E-2</v>
      </c>
      <c r="F98" s="39">
        <f t="shared" si="25"/>
        <v>0.71875</v>
      </c>
      <c r="G98" s="39">
        <f t="shared" si="25"/>
        <v>-0.33125000000000071</v>
      </c>
      <c r="H98" s="39">
        <f t="shared" si="25"/>
        <v>-0.28125</v>
      </c>
      <c r="I98" s="39">
        <f t="shared" si="25"/>
        <v>0.26874999999999893</v>
      </c>
      <c r="J98" s="39">
        <f t="shared" si="25"/>
        <v>-0.68125000000000036</v>
      </c>
      <c r="K98" s="39"/>
      <c r="M98" s="39"/>
    </row>
    <row r="99" spans="1:13">
      <c r="B99">
        <v>3</v>
      </c>
      <c r="C99" s="39">
        <f t="shared" si="25"/>
        <v>-0.28125000000000089</v>
      </c>
      <c r="D99" s="39">
        <f t="shared" si="25"/>
        <v>1.8187499999999996</v>
      </c>
      <c r="E99" s="39">
        <f t="shared" si="25"/>
        <v>-0.13125000000000053</v>
      </c>
      <c r="F99" s="39">
        <f t="shared" si="25"/>
        <v>-1.6812500000000008</v>
      </c>
      <c r="G99" s="39">
        <f t="shared" si="25"/>
        <v>0.96875</v>
      </c>
      <c r="H99" s="39">
        <f t="shared" si="25"/>
        <v>-1.2812500000000009</v>
      </c>
      <c r="I99" s="39">
        <f t="shared" si="25"/>
        <v>-0.28125000000000089</v>
      </c>
      <c r="J99" s="39">
        <f t="shared" si="25"/>
        <v>-1.1312500000000014</v>
      </c>
      <c r="K99" s="39"/>
      <c r="L99" s="39"/>
      <c r="M99" s="39"/>
    </row>
    <row r="100" spans="1:13">
      <c r="B100">
        <v>4</v>
      </c>
      <c r="C100" s="39">
        <f t="shared" si="25"/>
        <v>0.81874999999999964</v>
      </c>
      <c r="D100" s="39">
        <f t="shared" si="25"/>
        <v>-1.3812500000000005</v>
      </c>
      <c r="E100" s="39">
        <f t="shared" si="25"/>
        <v>1.8749999999998934E-2</v>
      </c>
      <c r="F100" s="39">
        <f t="shared" si="25"/>
        <v>-3.0812500000000007</v>
      </c>
      <c r="G100" s="39">
        <f t="shared" si="25"/>
        <v>1.4187499999999993</v>
      </c>
      <c r="H100" s="39">
        <f t="shared" si="25"/>
        <v>-1.53125</v>
      </c>
      <c r="I100" s="39">
        <f t="shared" si="25"/>
        <v>-0.53125</v>
      </c>
      <c r="J100" s="39">
        <f t="shared" si="25"/>
        <v>-2.5312500000000009</v>
      </c>
      <c r="K100" s="39"/>
    </row>
    <row r="101" spans="1:13">
      <c r="C101" s="39"/>
      <c r="D101" s="39"/>
      <c r="E101" s="39"/>
      <c r="F101" s="39"/>
      <c r="H101" s="39"/>
      <c r="I101" s="39"/>
      <c r="J101" s="39"/>
      <c r="K101" s="39"/>
    </row>
    <row r="103" spans="1:13">
      <c r="B103" t="s">
        <v>1139</v>
      </c>
      <c r="C103" t="s">
        <v>1140</v>
      </c>
      <c r="D103" t="s">
        <v>1141</v>
      </c>
      <c r="E103" t="s">
        <v>1142</v>
      </c>
      <c r="F103" t="s">
        <v>1143</v>
      </c>
      <c r="G103" t="s">
        <v>1144</v>
      </c>
    </row>
    <row r="104" spans="1:13">
      <c r="B104" t="s">
        <v>1145</v>
      </c>
      <c r="C104">
        <v>31</v>
      </c>
      <c r="D104" s="13">
        <f>SUMSQ(C97:J100)*2</f>
        <v>103.68750000000001</v>
      </c>
      <c r="E104" s="13">
        <f>D104/C104</f>
        <v>3.3447580645161294</v>
      </c>
      <c r="F104" s="13">
        <f>E104/E105</f>
        <v>4.4356509765650944</v>
      </c>
      <c r="G104">
        <f>_xlfn.F.DIST.RT(F104,C104,C105)</f>
        <v>3.2601495075813429E-5</v>
      </c>
    </row>
    <row r="105" spans="1:13">
      <c r="B105" t="s">
        <v>1146</v>
      </c>
      <c r="C105">
        <f>C106-C104</f>
        <v>32</v>
      </c>
      <c r="D105" s="13">
        <f>D106-D104</f>
        <v>24.130000000000095</v>
      </c>
      <c r="E105" s="13">
        <f t="shared" ref="E105" si="26">D105/C105</f>
        <v>0.75406250000000297</v>
      </c>
      <c r="F105" s="13"/>
    </row>
    <row r="106" spans="1:13">
      <c r="B106" t="s">
        <v>1147</v>
      </c>
      <c r="C106">
        <v>63</v>
      </c>
      <c r="D106" s="13">
        <f>SUMSQ(C36:J43)-64*K95^2</f>
        <v>127.81750000000011</v>
      </c>
      <c r="E106" s="13"/>
      <c r="F106" s="13"/>
    </row>
    <row r="107" spans="1:13">
      <c r="C107" t="s">
        <v>1148</v>
      </c>
      <c r="D107" t="s">
        <v>1149</v>
      </c>
    </row>
    <row r="108" spans="1:13">
      <c r="B108" s="11" t="s">
        <v>1150</v>
      </c>
      <c r="C108" s="13">
        <f>E105</f>
        <v>0.75406250000000297</v>
      </c>
      <c r="D108" s="13">
        <f>(E104-E105)/2</f>
        <v>1.2953477822580632</v>
      </c>
      <c r="E108" s="39"/>
      <c r="F108" s="39" t="s">
        <v>1861</v>
      </c>
      <c r="G108" s="39"/>
      <c r="H108" s="39"/>
      <c r="I108" s="39"/>
      <c r="J108" s="39"/>
    </row>
    <row r="110" spans="1:13">
      <c r="A110" s="11" t="s">
        <v>1151</v>
      </c>
      <c r="C110" t="s">
        <v>1152</v>
      </c>
      <c r="D110" t="s">
        <v>1153</v>
      </c>
      <c r="E110" t="s">
        <v>1154</v>
      </c>
    </row>
    <row r="111" spans="1:13" ht="16.8">
      <c r="B111" t="s">
        <v>1155</v>
      </c>
      <c r="C111">
        <v>1</v>
      </c>
      <c r="D111">
        <v>1</v>
      </c>
      <c r="E111">
        <v>0</v>
      </c>
      <c r="F111" t="s">
        <v>1152</v>
      </c>
      <c r="G111">
        <v>10</v>
      </c>
      <c r="H111" t="s">
        <v>1156</v>
      </c>
      <c r="I111">
        <f>G112^2/2</f>
        <v>2</v>
      </c>
      <c r="J111" t="s">
        <v>1157</v>
      </c>
      <c r="K111">
        <f>I111/(I111+I112+I113)</f>
        <v>0.5</v>
      </c>
    </row>
    <row r="112" spans="1:13" ht="16.8">
      <c r="B112" t="s">
        <v>1158</v>
      </c>
      <c r="C112">
        <v>1</v>
      </c>
      <c r="D112">
        <v>0</v>
      </c>
      <c r="E112">
        <v>1</v>
      </c>
      <c r="F112" t="s">
        <v>1153</v>
      </c>
      <c r="G112">
        <v>2</v>
      </c>
      <c r="H112" t="s">
        <v>1159</v>
      </c>
      <c r="I112">
        <f>G113^2/4</f>
        <v>1</v>
      </c>
      <c r="J112" t="s">
        <v>1160</v>
      </c>
      <c r="K112">
        <f>(I111+I112)/(I111+I112+I113)</f>
        <v>0.75</v>
      </c>
    </row>
    <row r="113" spans="1:14">
      <c r="B113" t="s">
        <v>1161</v>
      </c>
      <c r="C113">
        <v>1</v>
      </c>
      <c r="D113">
        <v>-1</v>
      </c>
      <c r="E113">
        <v>0</v>
      </c>
      <c r="F113" t="s">
        <v>1154</v>
      </c>
      <c r="G113">
        <v>2</v>
      </c>
      <c r="H113" t="s">
        <v>1162</v>
      </c>
      <c r="I113">
        <v>1</v>
      </c>
    </row>
    <row r="115" spans="1:14">
      <c r="B115" t="s">
        <v>1163</v>
      </c>
      <c r="C115" t="s">
        <v>1164</v>
      </c>
      <c r="D115" t="s">
        <v>1165</v>
      </c>
      <c r="E115" t="s">
        <v>1166</v>
      </c>
      <c r="F115" t="s">
        <v>1167</v>
      </c>
      <c r="G115" t="s">
        <v>1168</v>
      </c>
      <c r="H115" t="s">
        <v>1169</v>
      </c>
      <c r="I115" t="s">
        <v>1170</v>
      </c>
      <c r="J115" t="s">
        <v>1171</v>
      </c>
      <c r="K115" t="s">
        <v>1172</v>
      </c>
    </row>
    <row r="116" spans="1:14">
      <c r="B116" t="s">
        <v>1155</v>
      </c>
      <c r="C116">
        <f t="array" ref="C116:C118">MMULT(C111:E113,G111:G113)</f>
        <v>12</v>
      </c>
      <c r="D116">
        <v>0.25</v>
      </c>
      <c r="E116">
        <f>C116</f>
        <v>12</v>
      </c>
      <c r="F116">
        <f>C117</f>
        <v>12</v>
      </c>
      <c r="G116">
        <f>C116/2+C117/2</f>
        <v>12</v>
      </c>
      <c r="H116">
        <f>E116+F116</f>
        <v>24</v>
      </c>
      <c r="I116">
        <f>E116-F116</f>
        <v>0</v>
      </c>
      <c r="J116">
        <f>E116+F116+G116</f>
        <v>36</v>
      </c>
      <c r="K116">
        <f>E116+F116-2*G116</f>
        <v>0</v>
      </c>
    </row>
    <row r="117" spans="1:14">
      <c r="B117" t="s">
        <v>1173</v>
      </c>
      <c r="C117">
        <v>12</v>
      </c>
      <c r="D117">
        <v>0.5</v>
      </c>
      <c r="E117">
        <f>C116/2+C117/2</f>
        <v>12</v>
      </c>
      <c r="F117">
        <f>C117/2+C118/2</f>
        <v>10</v>
      </c>
      <c r="G117">
        <f>C116/4+C117/2+C118/4</f>
        <v>11</v>
      </c>
      <c r="H117">
        <f t="shared" ref="H117:H118" si="27">E117+F117</f>
        <v>22</v>
      </c>
      <c r="I117">
        <f t="shared" ref="I117:I118" si="28">E117-F117</f>
        <v>2</v>
      </c>
      <c r="J117">
        <f t="shared" ref="J117:J118" si="29">E117+F117+G117</f>
        <v>33</v>
      </c>
      <c r="K117">
        <f t="shared" ref="K117:K118" si="30">E117+F117-2*G117</f>
        <v>0</v>
      </c>
    </row>
    <row r="118" spans="1:14">
      <c r="B118" t="s">
        <v>1174</v>
      </c>
      <c r="C118">
        <v>8</v>
      </c>
      <c r="D118">
        <v>0.25</v>
      </c>
      <c r="E118">
        <f>C117</f>
        <v>12</v>
      </c>
      <c r="F118">
        <f>C118</f>
        <v>8</v>
      </c>
      <c r="G118">
        <f>C117/2+C118/2</f>
        <v>10</v>
      </c>
      <c r="H118">
        <f t="shared" si="27"/>
        <v>20</v>
      </c>
      <c r="I118">
        <f t="shared" si="28"/>
        <v>4</v>
      </c>
      <c r="J118">
        <f t="shared" si="29"/>
        <v>30</v>
      </c>
      <c r="K118">
        <f t="shared" si="30"/>
        <v>0</v>
      </c>
    </row>
    <row r="119" spans="1:14">
      <c r="B119" t="s">
        <v>1175</v>
      </c>
      <c r="C119">
        <f>SUMPRODUCT(D116:D118,C116:C118)</f>
        <v>11</v>
      </c>
      <c r="E119">
        <f>SUMPRODUCT(D116:D118,E116:E118)</f>
        <v>12</v>
      </c>
      <c r="F119">
        <f>SUMPRODUCT(D116:D118,F116:F118)</f>
        <v>10</v>
      </c>
      <c r="G119">
        <f>SUMPRODUCT(D116:D118,G116:G118)</f>
        <v>11</v>
      </c>
      <c r="H119">
        <f>SUMPRODUCT(D116:D118,H116:H118)</f>
        <v>22</v>
      </c>
      <c r="I119">
        <f>SUMPRODUCT(D116:D118,I116:I118)</f>
        <v>2</v>
      </c>
      <c r="J119">
        <f>SUMPRODUCT(D116:D118,J116:J118)</f>
        <v>33</v>
      </c>
      <c r="K119">
        <f>SUMPRODUCT(D116:D118,K116:K118)</f>
        <v>0</v>
      </c>
    </row>
    <row r="120" spans="1:14">
      <c r="B120" t="s">
        <v>1176</v>
      </c>
      <c r="C120">
        <f>SUMPRODUCT(D116:D118,(C116:C118)^2)-C119^2</f>
        <v>3</v>
      </c>
      <c r="E120">
        <f>SUMPRODUCT(D116:D118,(E116:E118)^2)-E119^2</f>
        <v>0</v>
      </c>
      <c r="F120">
        <f>SUMPRODUCT(D116:D118,(F116:F118)^2)-F119^2</f>
        <v>2</v>
      </c>
      <c r="G120">
        <f>SUMPRODUCT(D116:D118,(G116:G118)^2)-G119^2</f>
        <v>0.5</v>
      </c>
      <c r="H120">
        <f>SUMPRODUCT(D116:D118,(H116:H118)^2)-H119^2</f>
        <v>2</v>
      </c>
      <c r="I120">
        <f>SUMPRODUCT(D116:D118,(I116:I118)^2)-I119^2</f>
        <v>2</v>
      </c>
      <c r="J120">
        <f>SUMPRODUCT(D116:D118,(J116:J118)^2)-J119^2</f>
        <v>4.5</v>
      </c>
      <c r="K120">
        <f>SUMPRODUCT(D116:D118,(K116:K118)^2)-K119^2</f>
        <v>0</v>
      </c>
    </row>
    <row r="122" spans="1:14">
      <c r="A122" s="11" t="s">
        <v>1177</v>
      </c>
      <c r="C122" t="s">
        <v>1178</v>
      </c>
      <c r="I122" t="s">
        <v>1179</v>
      </c>
    </row>
    <row r="123" spans="1:14">
      <c r="B123" t="s">
        <v>1180</v>
      </c>
      <c r="C123" t="s">
        <v>1181</v>
      </c>
      <c r="D123" t="s">
        <v>1182</v>
      </c>
      <c r="E123" t="s">
        <v>1183</v>
      </c>
      <c r="F123" t="s">
        <v>1181</v>
      </c>
      <c r="G123" t="s">
        <v>1182</v>
      </c>
      <c r="H123" t="s">
        <v>1183</v>
      </c>
      <c r="I123" t="s">
        <v>1181</v>
      </c>
      <c r="J123" t="s">
        <v>1182</v>
      </c>
      <c r="K123" t="s">
        <v>1183</v>
      </c>
      <c r="L123" t="s">
        <v>1181</v>
      </c>
      <c r="M123" t="s">
        <v>1182</v>
      </c>
      <c r="N123" t="s">
        <v>1183</v>
      </c>
    </row>
    <row r="124" spans="1:14">
      <c r="B124">
        <v>1</v>
      </c>
      <c r="C124">
        <f>E116</f>
        <v>12</v>
      </c>
      <c r="D124">
        <f t="shared" ref="D124:E127" si="31">F116</f>
        <v>12</v>
      </c>
      <c r="E124">
        <f t="shared" si="31"/>
        <v>12</v>
      </c>
      <c r="F124">
        <f>C124</f>
        <v>12</v>
      </c>
      <c r="G124">
        <f t="shared" ref="G124:H131" si="32">D124</f>
        <v>12</v>
      </c>
      <c r="H124">
        <f t="shared" si="32"/>
        <v>12</v>
      </c>
      <c r="I124">
        <v>-1.5706018530181609</v>
      </c>
      <c r="J124">
        <v>-2.6653651730157435</v>
      </c>
      <c r="K124">
        <v>1.629759935894981</v>
      </c>
      <c r="L124">
        <v>0.68072040448896587</v>
      </c>
      <c r="M124">
        <v>-0.80357267506769858</v>
      </c>
      <c r="N124">
        <v>-0.67802375269820914</v>
      </c>
    </row>
    <row r="125" spans="1:14">
      <c r="B125">
        <v>2</v>
      </c>
      <c r="C125">
        <f>E117</f>
        <v>12</v>
      </c>
      <c r="D125">
        <f t="shared" si="31"/>
        <v>10</v>
      </c>
      <c r="E125">
        <f t="shared" si="31"/>
        <v>11</v>
      </c>
      <c r="F125">
        <f t="shared" ref="F125:F131" si="33">C125</f>
        <v>12</v>
      </c>
      <c r="G125">
        <f t="shared" si="32"/>
        <v>10</v>
      </c>
      <c r="H125">
        <f t="shared" si="32"/>
        <v>11</v>
      </c>
      <c r="I125">
        <v>-0.11049678505514748</v>
      </c>
      <c r="J125">
        <v>1.742137101246044</v>
      </c>
      <c r="K125">
        <v>-0.45420961214404088</v>
      </c>
      <c r="L125">
        <v>-1.4752686183783226</v>
      </c>
      <c r="M125">
        <v>7.2085413194145076E-2</v>
      </c>
      <c r="N125">
        <v>-0.59227431847830303</v>
      </c>
    </row>
    <row r="126" spans="1:14">
      <c r="B126">
        <v>3</v>
      </c>
      <c r="C126">
        <f>E118</f>
        <v>12</v>
      </c>
      <c r="D126">
        <f t="shared" si="31"/>
        <v>8</v>
      </c>
      <c r="E126">
        <f t="shared" si="31"/>
        <v>10</v>
      </c>
      <c r="F126">
        <f t="shared" si="33"/>
        <v>12</v>
      </c>
      <c r="G126">
        <f t="shared" si="32"/>
        <v>8</v>
      </c>
      <c r="H126">
        <f t="shared" si="32"/>
        <v>10</v>
      </c>
      <c r="I126">
        <v>0.10718849807744846</v>
      </c>
      <c r="J126">
        <v>-0.62458639149554074</v>
      </c>
      <c r="K126">
        <v>-0.12482473721320275</v>
      </c>
      <c r="L126">
        <v>-0.67245082391309552</v>
      </c>
      <c r="M126">
        <v>-5.4694737627869472E-3</v>
      </c>
      <c r="N126">
        <v>-0.2001866050704848</v>
      </c>
    </row>
    <row r="127" spans="1:14">
      <c r="B127">
        <v>4</v>
      </c>
      <c r="C127">
        <f>E119</f>
        <v>12</v>
      </c>
      <c r="D127">
        <f t="shared" si="31"/>
        <v>10</v>
      </c>
      <c r="E127">
        <f t="shared" si="31"/>
        <v>11</v>
      </c>
      <c r="F127">
        <f t="shared" si="33"/>
        <v>12</v>
      </c>
      <c r="G127">
        <f t="shared" si="32"/>
        <v>10</v>
      </c>
      <c r="H127">
        <f t="shared" si="32"/>
        <v>11</v>
      </c>
      <c r="I127">
        <v>-1.8348328012507409</v>
      </c>
      <c r="J127">
        <v>-0.24827841116348282</v>
      </c>
      <c r="K127">
        <v>-0.33337300919811241</v>
      </c>
      <c r="L127">
        <v>-0.38915004552109167</v>
      </c>
      <c r="M127">
        <v>-0.38247549127845559</v>
      </c>
      <c r="N127">
        <v>0.91270067059667781</v>
      </c>
    </row>
    <row r="128" spans="1:14">
      <c r="B128">
        <v>5</v>
      </c>
      <c r="C128">
        <f>E116</f>
        <v>12</v>
      </c>
      <c r="D128">
        <f t="shared" ref="D128:E131" si="34">F116</f>
        <v>12</v>
      </c>
      <c r="E128">
        <f t="shared" si="34"/>
        <v>12</v>
      </c>
      <c r="F128">
        <f t="shared" si="33"/>
        <v>12</v>
      </c>
      <c r="G128">
        <f t="shared" si="32"/>
        <v>12</v>
      </c>
      <c r="H128">
        <f t="shared" si="32"/>
        <v>12</v>
      </c>
      <c r="I128">
        <v>-1.8008995539275929</v>
      </c>
      <c r="J128">
        <v>0.24780547391856089</v>
      </c>
      <c r="K128">
        <v>-1.6929925550357439</v>
      </c>
      <c r="L128">
        <v>6.5404037741245702E-3</v>
      </c>
      <c r="M128">
        <v>-0.19324602362758014</v>
      </c>
      <c r="N128">
        <v>-1.3198200576880481</v>
      </c>
    </row>
    <row r="129" spans="2:14">
      <c r="B129">
        <v>6</v>
      </c>
      <c r="C129">
        <f>E117</f>
        <v>12</v>
      </c>
      <c r="D129">
        <f t="shared" si="34"/>
        <v>10</v>
      </c>
      <c r="E129">
        <f t="shared" si="34"/>
        <v>11</v>
      </c>
      <c r="F129">
        <f t="shared" si="33"/>
        <v>12</v>
      </c>
      <c r="G129">
        <f t="shared" si="32"/>
        <v>10</v>
      </c>
      <c r="H129">
        <f t="shared" si="32"/>
        <v>11</v>
      </c>
      <c r="I129">
        <v>1.4518263924401253</v>
      </c>
      <c r="J129">
        <v>-0.30239334591897205</v>
      </c>
      <c r="K129">
        <v>-0.64611640482326038</v>
      </c>
      <c r="L129">
        <v>-1.2994405551580712</v>
      </c>
      <c r="M129">
        <v>-1.4786837709834799</v>
      </c>
      <c r="N129">
        <v>-5.139099812367931E-2</v>
      </c>
    </row>
    <row r="130" spans="2:14">
      <c r="B130">
        <v>7</v>
      </c>
      <c r="C130">
        <f>E118</f>
        <v>12</v>
      </c>
      <c r="D130">
        <f t="shared" si="34"/>
        <v>8</v>
      </c>
      <c r="E130">
        <f t="shared" si="34"/>
        <v>10</v>
      </c>
      <c r="F130">
        <f t="shared" si="33"/>
        <v>12</v>
      </c>
      <c r="G130">
        <f t="shared" si="32"/>
        <v>8</v>
      </c>
      <c r="H130">
        <f t="shared" si="32"/>
        <v>10</v>
      </c>
      <c r="I130">
        <v>-1.322932803304866</v>
      </c>
      <c r="J130">
        <v>1.1495899343572091</v>
      </c>
      <c r="K130">
        <v>0.74584022513590753</v>
      </c>
      <c r="L130">
        <v>-0.13755652616964653</v>
      </c>
      <c r="M130">
        <v>0.71774366006138735</v>
      </c>
      <c r="N130">
        <v>-0.41319481169921346</v>
      </c>
    </row>
    <row r="131" spans="2:14">
      <c r="B131">
        <v>8</v>
      </c>
      <c r="C131">
        <f>E119</f>
        <v>12</v>
      </c>
      <c r="D131">
        <f t="shared" si="34"/>
        <v>10</v>
      </c>
      <c r="E131">
        <f t="shared" si="34"/>
        <v>11</v>
      </c>
      <c r="F131">
        <f t="shared" si="33"/>
        <v>12</v>
      </c>
      <c r="G131">
        <f t="shared" si="32"/>
        <v>10</v>
      </c>
      <c r="H131">
        <f t="shared" si="32"/>
        <v>11</v>
      </c>
      <c r="I131">
        <v>1.9430990505497903</v>
      </c>
      <c r="J131">
        <v>-1.6791545931482688E-2</v>
      </c>
      <c r="K131">
        <v>0.3422007921471959</v>
      </c>
      <c r="L131">
        <v>0.26781435735756531</v>
      </c>
      <c r="M131">
        <v>0.29847115001757629</v>
      </c>
      <c r="N131">
        <v>-0.60747652241843753</v>
      </c>
    </row>
    <row r="133" spans="2:14">
      <c r="C133" t="s">
        <v>1184</v>
      </c>
      <c r="F133" t="s">
        <v>1185</v>
      </c>
      <c r="J133" t="s">
        <v>1186</v>
      </c>
    </row>
    <row r="134" spans="2:14">
      <c r="B134" t="s">
        <v>1187</v>
      </c>
      <c r="C134" t="s">
        <v>1188</v>
      </c>
      <c r="D134" t="s">
        <v>1189</v>
      </c>
      <c r="E134" t="s">
        <v>1190</v>
      </c>
      <c r="F134" t="s">
        <v>1188</v>
      </c>
      <c r="G134" t="s">
        <v>1189</v>
      </c>
      <c r="H134" t="s">
        <v>1190</v>
      </c>
      <c r="I134" t="s">
        <v>1187</v>
      </c>
      <c r="J134" t="s">
        <v>1181</v>
      </c>
      <c r="K134" t="s">
        <v>1182</v>
      </c>
      <c r="L134" t="s">
        <v>1183</v>
      </c>
    </row>
    <row r="135" spans="2:14">
      <c r="B135">
        <v>1</v>
      </c>
      <c r="C135" s="39">
        <f t="shared" ref="C135:H142" si="35">C124+ROUND(I124,2)</f>
        <v>10.43</v>
      </c>
      <c r="D135" s="39">
        <f t="shared" si="35"/>
        <v>9.33</v>
      </c>
      <c r="E135" s="39">
        <f t="shared" si="35"/>
        <v>13.629999999999999</v>
      </c>
      <c r="F135" s="39">
        <f t="shared" si="35"/>
        <v>12.68</v>
      </c>
      <c r="G135" s="39">
        <f t="shared" si="35"/>
        <v>11.2</v>
      </c>
      <c r="H135" s="39">
        <f t="shared" si="35"/>
        <v>11.32</v>
      </c>
      <c r="I135">
        <v>1</v>
      </c>
      <c r="J135" s="18">
        <f t="shared" ref="J135:L142" si="36">AVERAGE(C135,F135)</f>
        <v>11.555</v>
      </c>
      <c r="K135" s="18">
        <f t="shared" si="36"/>
        <v>10.265000000000001</v>
      </c>
      <c r="L135" s="18">
        <f t="shared" si="36"/>
        <v>12.475</v>
      </c>
      <c r="M135" s="18"/>
      <c r="N135" s="18"/>
    </row>
    <row r="136" spans="2:14">
      <c r="B136">
        <v>2</v>
      </c>
      <c r="C136" s="39">
        <f t="shared" si="35"/>
        <v>11.89</v>
      </c>
      <c r="D136" s="39">
        <f t="shared" si="35"/>
        <v>11.74</v>
      </c>
      <c r="E136" s="39">
        <f t="shared" si="35"/>
        <v>10.55</v>
      </c>
      <c r="F136" s="39">
        <f t="shared" si="35"/>
        <v>10.52</v>
      </c>
      <c r="G136" s="39">
        <f t="shared" si="35"/>
        <v>10.07</v>
      </c>
      <c r="H136" s="39">
        <f t="shared" si="35"/>
        <v>10.41</v>
      </c>
      <c r="I136">
        <v>2</v>
      </c>
      <c r="J136" s="18">
        <f t="shared" si="36"/>
        <v>11.205</v>
      </c>
      <c r="K136" s="18">
        <f t="shared" si="36"/>
        <v>10.905000000000001</v>
      </c>
      <c r="L136" s="18">
        <f t="shared" si="36"/>
        <v>10.48</v>
      </c>
      <c r="M136" s="18"/>
      <c r="N136" s="18"/>
    </row>
    <row r="137" spans="2:14">
      <c r="B137">
        <v>3</v>
      </c>
      <c r="C137" s="39">
        <f t="shared" si="35"/>
        <v>12.11</v>
      </c>
      <c r="D137" s="39">
        <f t="shared" si="35"/>
        <v>7.38</v>
      </c>
      <c r="E137" s="39">
        <f t="shared" si="35"/>
        <v>9.8800000000000008</v>
      </c>
      <c r="F137" s="39">
        <f t="shared" si="35"/>
        <v>11.33</v>
      </c>
      <c r="G137" s="39">
        <f t="shared" si="35"/>
        <v>7.99</v>
      </c>
      <c r="H137" s="39">
        <f t="shared" si="35"/>
        <v>9.8000000000000007</v>
      </c>
      <c r="I137">
        <v>3</v>
      </c>
      <c r="J137" s="18">
        <f t="shared" si="36"/>
        <v>11.719999999999999</v>
      </c>
      <c r="K137" s="18">
        <f t="shared" si="36"/>
        <v>7.6850000000000005</v>
      </c>
      <c r="L137" s="18">
        <f t="shared" si="36"/>
        <v>9.84</v>
      </c>
      <c r="M137" s="18"/>
      <c r="N137" s="18"/>
    </row>
    <row r="138" spans="2:14">
      <c r="B138">
        <v>4</v>
      </c>
      <c r="C138" s="39">
        <f t="shared" si="35"/>
        <v>10.17</v>
      </c>
      <c r="D138" s="39">
        <f t="shared" si="35"/>
        <v>9.75</v>
      </c>
      <c r="E138" s="39">
        <f t="shared" si="35"/>
        <v>10.67</v>
      </c>
      <c r="F138" s="39">
        <f t="shared" si="35"/>
        <v>11.61</v>
      </c>
      <c r="G138" s="39">
        <f t="shared" si="35"/>
        <v>9.6199999999999992</v>
      </c>
      <c r="H138" s="39">
        <f t="shared" si="35"/>
        <v>11.91</v>
      </c>
      <c r="I138">
        <v>4</v>
      </c>
      <c r="J138" s="18">
        <f t="shared" si="36"/>
        <v>10.89</v>
      </c>
      <c r="K138" s="18">
        <f t="shared" si="36"/>
        <v>9.6849999999999987</v>
      </c>
      <c r="L138" s="18">
        <f t="shared" si="36"/>
        <v>11.29</v>
      </c>
      <c r="M138" s="18"/>
      <c r="N138" s="18"/>
    </row>
    <row r="139" spans="2:14">
      <c r="B139">
        <v>5</v>
      </c>
      <c r="C139" s="39">
        <f t="shared" si="35"/>
        <v>10.199999999999999</v>
      </c>
      <c r="D139" s="39">
        <f t="shared" si="35"/>
        <v>12.25</v>
      </c>
      <c r="E139" s="39">
        <f t="shared" si="35"/>
        <v>10.31</v>
      </c>
      <c r="F139" s="39">
        <f t="shared" si="35"/>
        <v>12.01</v>
      </c>
      <c r="G139" s="39">
        <f t="shared" si="35"/>
        <v>11.81</v>
      </c>
      <c r="H139" s="39">
        <f t="shared" si="35"/>
        <v>10.68</v>
      </c>
      <c r="I139">
        <v>5</v>
      </c>
      <c r="J139" s="18">
        <f t="shared" si="36"/>
        <v>11.105</v>
      </c>
      <c r="K139" s="18">
        <f t="shared" si="36"/>
        <v>12.030000000000001</v>
      </c>
      <c r="L139" s="18">
        <f t="shared" si="36"/>
        <v>10.495000000000001</v>
      </c>
      <c r="M139" s="18"/>
      <c r="N139" s="18"/>
    </row>
    <row r="140" spans="2:14">
      <c r="B140">
        <v>6</v>
      </c>
      <c r="C140" s="39">
        <f t="shared" si="35"/>
        <v>13.45</v>
      </c>
      <c r="D140" s="39">
        <f t="shared" si="35"/>
        <v>9.6999999999999993</v>
      </c>
      <c r="E140" s="39">
        <f t="shared" si="35"/>
        <v>10.35</v>
      </c>
      <c r="F140" s="39">
        <f t="shared" si="35"/>
        <v>10.7</v>
      </c>
      <c r="G140" s="39">
        <f t="shared" si="35"/>
        <v>8.52</v>
      </c>
      <c r="H140" s="39">
        <f t="shared" si="35"/>
        <v>10.95</v>
      </c>
      <c r="I140">
        <v>6</v>
      </c>
      <c r="J140" s="18">
        <f t="shared" si="36"/>
        <v>12.074999999999999</v>
      </c>
      <c r="K140" s="18">
        <f t="shared" si="36"/>
        <v>9.11</v>
      </c>
      <c r="L140" s="18">
        <f t="shared" si="36"/>
        <v>10.649999999999999</v>
      </c>
      <c r="M140" s="18"/>
      <c r="N140" s="18"/>
    </row>
    <row r="141" spans="2:14">
      <c r="B141">
        <v>7</v>
      </c>
      <c r="C141" s="39">
        <f t="shared" si="35"/>
        <v>10.68</v>
      </c>
      <c r="D141" s="39">
        <f t="shared" si="35"/>
        <v>9.15</v>
      </c>
      <c r="E141" s="39">
        <f t="shared" si="35"/>
        <v>10.75</v>
      </c>
      <c r="F141" s="39">
        <f t="shared" si="35"/>
        <v>11.86</v>
      </c>
      <c r="G141" s="39">
        <f t="shared" si="35"/>
        <v>8.7200000000000006</v>
      </c>
      <c r="H141" s="39">
        <f t="shared" si="35"/>
        <v>9.59</v>
      </c>
      <c r="I141">
        <v>7</v>
      </c>
      <c r="J141" s="18">
        <f t="shared" si="36"/>
        <v>11.27</v>
      </c>
      <c r="K141" s="18">
        <f t="shared" si="36"/>
        <v>8.9350000000000005</v>
      </c>
      <c r="L141" s="18">
        <f t="shared" si="36"/>
        <v>10.17</v>
      </c>
      <c r="M141" s="18"/>
      <c r="N141" s="18"/>
    </row>
    <row r="142" spans="2:14">
      <c r="B142">
        <v>8</v>
      </c>
      <c r="C142" s="39">
        <f t="shared" si="35"/>
        <v>13.94</v>
      </c>
      <c r="D142" s="39">
        <f t="shared" si="35"/>
        <v>9.98</v>
      </c>
      <c r="E142" s="39">
        <f t="shared" si="35"/>
        <v>11.34</v>
      </c>
      <c r="F142" s="39">
        <f t="shared" si="35"/>
        <v>12.27</v>
      </c>
      <c r="G142" s="39">
        <f t="shared" si="35"/>
        <v>10.3</v>
      </c>
      <c r="H142" s="39">
        <f t="shared" si="35"/>
        <v>10.39</v>
      </c>
      <c r="I142">
        <v>8</v>
      </c>
      <c r="J142" s="18">
        <f t="shared" si="36"/>
        <v>13.105</v>
      </c>
      <c r="K142" s="18">
        <f t="shared" si="36"/>
        <v>10.14</v>
      </c>
      <c r="L142" s="18">
        <f t="shared" si="36"/>
        <v>10.865</v>
      </c>
      <c r="M142" s="18"/>
      <c r="N142" s="18"/>
    </row>
    <row r="143" spans="2:14">
      <c r="B143" t="s">
        <v>1195</v>
      </c>
      <c r="C143" s="39">
        <f>AVERAGE(C135:H142)</f>
        <v>10.747708333333334</v>
      </c>
      <c r="D143" s="39"/>
      <c r="E143" s="39"/>
      <c r="F143" s="39"/>
      <c r="G143" s="39"/>
      <c r="H143" s="39"/>
      <c r="J143" s="18"/>
      <c r="K143" s="18"/>
      <c r="L143" s="18"/>
      <c r="M143" s="18"/>
      <c r="N143" s="18"/>
    </row>
    <row r="144" spans="2:14">
      <c r="I144" s="39"/>
      <c r="J144" s="18"/>
      <c r="K144" s="18"/>
      <c r="L144" s="18"/>
      <c r="M144" s="18"/>
      <c r="N144" s="18"/>
    </row>
    <row r="145" spans="2:11">
      <c r="C145" s="39" t="s">
        <v>1871</v>
      </c>
      <c r="F145" t="s">
        <v>1870</v>
      </c>
      <c r="I145" t="s">
        <v>1870</v>
      </c>
    </row>
    <row r="146" spans="2:11">
      <c r="B146" t="s">
        <v>1187</v>
      </c>
      <c r="C146" t="s">
        <v>1181</v>
      </c>
      <c r="D146" t="s">
        <v>1182</v>
      </c>
      <c r="E146" t="s">
        <v>1183</v>
      </c>
      <c r="F146" t="s">
        <v>1188</v>
      </c>
      <c r="G146" t="s">
        <v>1189</v>
      </c>
      <c r="H146" t="s">
        <v>1190</v>
      </c>
      <c r="I146" t="s">
        <v>1188</v>
      </c>
      <c r="J146" t="s">
        <v>1189</v>
      </c>
      <c r="K146" t="s">
        <v>1190</v>
      </c>
    </row>
    <row r="147" spans="2:11">
      <c r="B147">
        <v>1</v>
      </c>
      <c r="C147" s="18">
        <f>J135-$C$143</f>
        <v>0.80729166666666607</v>
      </c>
      <c r="D147" s="18">
        <f t="shared" ref="D147:E154" si="37">K135-$C$143</f>
        <v>-0.48270833333333307</v>
      </c>
      <c r="E147" s="18">
        <f t="shared" si="37"/>
        <v>1.727291666666666</v>
      </c>
      <c r="F147" s="18">
        <f t="shared" ref="F147:H154" si="38">C135-J135</f>
        <v>-1.125</v>
      </c>
      <c r="G147" s="18">
        <f t="shared" si="38"/>
        <v>-0.9350000000000005</v>
      </c>
      <c r="H147" s="18">
        <f t="shared" si="38"/>
        <v>1.1549999999999994</v>
      </c>
      <c r="I147" s="18">
        <f t="shared" ref="I147:K154" si="39">F135-J135</f>
        <v>1.125</v>
      </c>
      <c r="J147" s="18">
        <f t="shared" si="39"/>
        <v>0.93499999999999872</v>
      </c>
      <c r="K147" s="18">
        <f t="shared" si="39"/>
        <v>-1.1549999999999994</v>
      </c>
    </row>
    <row r="148" spans="2:11">
      <c r="B148">
        <v>2</v>
      </c>
      <c r="C148" s="18">
        <f t="shared" ref="C148:C154" si="40">J136-$C$143</f>
        <v>0.45729166666666643</v>
      </c>
      <c r="D148" s="18">
        <f t="shared" si="37"/>
        <v>0.1572916666666675</v>
      </c>
      <c r="E148" s="18">
        <f t="shared" si="37"/>
        <v>-0.26770833333333321</v>
      </c>
      <c r="F148" s="18">
        <f t="shared" si="38"/>
        <v>0.6850000000000005</v>
      </c>
      <c r="G148" s="18">
        <f t="shared" si="38"/>
        <v>0.83499999999999908</v>
      </c>
      <c r="H148" s="18">
        <f t="shared" si="38"/>
        <v>7.0000000000000284E-2</v>
      </c>
      <c r="I148" s="18">
        <f t="shared" si="39"/>
        <v>-0.6850000000000005</v>
      </c>
      <c r="J148" s="18">
        <f t="shared" si="39"/>
        <v>-0.83500000000000085</v>
      </c>
      <c r="K148" s="18">
        <f t="shared" si="39"/>
        <v>-7.0000000000000284E-2</v>
      </c>
    </row>
    <row r="149" spans="2:11">
      <c r="B149">
        <v>3</v>
      </c>
      <c r="C149" s="18">
        <f t="shared" si="40"/>
        <v>0.97229166666666522</v>
      </c>
      <c r="D149" s="18">
        <f t="shared" si="37"/>
        <v>-3.0627083333333331</v>
      </c>
      <c r="E149" s="18">
        <f t="shared" si="37"/>
        <v>-0.90770833333333378</v>
      </c>
      <c r="F149" s="18">
        <f t="shared" si="38"/>
        <v>0.39000000000000057</v>
      </c>
      <c r="G149" s="18">
        <f t="shared" si="38"/>
        <v>-0.3050000000000006</v>
      </c>
      <c r="H149" s="18">
        <f t="shared" si="38"/>
        <v>4.0000000000000924E-2</v>
      </c>
      <c r="I149" s="18">
        <f t="shared" si="39"/>
        <v>-0.38999999999999879</v>
      </c>
      <c r="J149" s="18">
        <f t="shared" si="39"/>
        <v>0.30499999999999972</v>
      </c>
      <c r="K149" s="18">
        <f t="shared" si="39"/>
        <v>-3.9999999999999147E-2</v>
      </c>
    </row>
    <row r="150" spans="2:11">
      <c r="B150">
        <v>4</v>
      </c>
      <c r="C150" s="18">
        <f t="shared" si="40"/>
        <v>0.14229166666666693</v>
      </c>
      <c r="D150" s="18">
        <f t="shared" si="37"/>
        <v>-1.0627083333333349</v>
      </c>
      <c r="E150" s="18">
        <f t="shared" si="37"/>
        <v>0.54229166666666551</v>
      </c>
      <c r="F150" s="18">
        <f t="shared" si="38"/>
        <v>-0.72000000000000064</v>
      </c>
      <c r="G150" s="18">
        <f t="shared" si="38"/>
        <v>6.5000000000001279E-2</v>
      </c>
      <c r="H150" s="18">
        <f t="shared" si="38"/>
        <v>-0.61999999999999922</v>
      </c>
      <c r="I150" s="18">
        <f t="shared" si="39"/>
        <v>0.71999999999999886</v>
      </c>
      <c r="J150" s="18">
        <f t="shared" si="39"/>
        <v>-6.4999999999999503E-2</v>
      </c>
      <c r="K150" s="18">
        <f t="shared" si="39"/>
        <v>0.62000000000000099</v>
      </c>
    </row>
    <row r="151" spans="2:11">
      <c r="B151">
        <v>5</v>
      </c>
      <c r="C151" s="18">
        <f t="shared" si="40"/>
        <v>0.35729166666666679</v>
      </c>
      <c r="D151" s="18">
        <f t="shared" si="37"/>
        <v>1.2822916666666675</v>
      </c>
      <c r="E151" s="18">
        <f t="shared" si="37"/>
        <v>-0.25270833333333265</v>
      </c>
      <c r="F151" s="18">
        <f t="shared" si="38"/>
        <v>-0.90500000000000114</v>
      </c>
      <c r="G151" s="18">
        <f t="shared" si="38"/>
        <v>0.21999999999999886</v>
      </c>
      <c r="H151" s="18">
        <f t="shared" si="38"/>
        <v>-0.1850000000000005</v>
      </c>
      <c r="I151" s="18">
        <f t="shared" si="39"/>
        <v>0.90499999999999936</v>
      </c>
      <c r="J151" s="18">
        <f t="shared" si="39"/>
        <v>-0.22000000000000064</v>
      </c>
      <c r="K151" s="18">
        <f t="shared" si="39"/>
        <v>0.18499999999999872</v>
      </c>
    </row>
    <row r="152" spans="2:11">
      <c r="B152">
        <v>6</v>
      </c>
      <c r="C152" s="18">
        <f t="shared" si="40"/>
        <v>1.3272916666666656</v>
      </c>
      <c r="D152" s="18">
        <f t="shared" si="37"/>
        <v>-1.6377083333333342</v>
      </c>
      <c r="E152" s="18">
        <f t="shared" si="37"/>
        <v>-9.7708333333335062E-2</v>
      </c>
      <c r="F152" s="18">
        <f t="shared" si="38"/>
        <v>1.375</v>
      </c>
      <c r="G152" s="18">
        <f t="shared" si="38"/>
        <v>0.58999999999999986</v>
      </c>
      <c r="H152" s="18">
        <f t="shared" si="38"/>
        <v>-0.29999999999999893</v>
      </c>
      <c r="I152" s="18">
        <f t="shared" si="39"/>
        <v>-1.375</v>
      </c>
      <c r="J152" s="18">
        <f t="shared" si="39"/>
        <v>-0.58999999999999986</v>
      </c>
      <c r="K152" s="18">
        <f t="shared" si="39"/>
        <v>0.30000000000000071</v>
      </c>
    </row>
    <row r="153" spans="2:11">
      <c r="B153">
        <v>7</v>
      </c>
      <c r="C153" s="18">
        <f t="shared" si="40"/>
        <v>0.52229166666666593</v>
      </c>
      <c r="D153" s="18">
        <f t="shared" si="37"/>
        <v>-1.8127083333333331</v>
      </c>
      <c r="E153" s="18">
        <f t="shared" si="37"/>
        <v>-0.57770833333333371</v>
      </c>
      <c r="F153" s="18">
        <f t="shared" si="38"/>
        <v>-0.58999999999999986</v>
      </c>
      <c r="G153" s="18">
        <f t="shared" si="38"/>
        <v>0.21499999999999986</v>
      </c>
      <c r="H153" s="18">
        <f t="shared" si="38"/>
        <v>0.58000000000000007</v>
      </c>
      <c r="I153" s="18">
        <f t="shared" si="39"/>
        <v>0.58999999999999986</v>
      </c>
      <c r="J153" s="18">
        <f t="shared" si="39"/>
        <v>-0.21499999999999986</v>
      </c>
      <c r="K153" s="18">
        <f t="shared" si="39"/>
        <v>-0.58000000000000007</v>
      </c>
    </row>
    <row r="154" spans="2:11">
      <c r="B154">
        <v>8</v>
      </c>
      <c r="C154" s="18">
        <f t="shared" si="40"/>
        <v>2.3572916666666668</v>
      </c>
      <c r="D154" s="18">
        <f t="shared" si="37"/>
        <v>-0.60770833333333307</v>
      </c>
      <c r="E154" s="18">
        <f t="shared" si="37"/>
        <v>0.11729166666666657</v>
      </c>
      <c r="F154" s="18">
        <f t="shared" si="38"/>
        <v>0.83499999999999908</v>
      </c>
      <c r="G154" s="18">
        <f t="shared" si="38"/>
        <v>-0.16000000000000014</v>
      </c>
      <c r="H154" s="18">
        <f t="shared" si="38"/>
        <v>0.47499999999999964</v>
      </c>
      <c r="I154" s="18">
        <f t="shared" si="39"/>
        <v>-0.83500000000000085</v>
      </c>
      <c r="J154" s="18">
        <f t="shared" si="39"/>
        <v>0.16000000000000014</v>
      </c>
      <c r="K154" s="18">
        <f t="shared" si="39"/>
        <v>-0.47499999999999964</v>
      </c>
    </row>
    <row r="155" spans="2:11">
      <c r="C155" s="18"/>
      <c r="D155" s="18"/>
      <c r="E155" s="18"/>
      <c r="F155" s="18"/>
      <c r="G155" s="18"/>
      <c r="H155" s="18"/>
      <c r="I155" s="39"/>
      <c r="J155" s="39"/>
      <c r="K155" s="39"/>
    </row>
    <row r="156" spans="2:11">
      <c r="B156" s="39" t="s">
        <v>1862</v>
      </c>
      <c r="C156" s="39" t="s">
        <v>1865</v>
      </c>
      <c r="D156" s="39" t="s">
        <v>1866</v>
      </c>
      <c r="E156" s="39" t="s">
        <v>1867</v>
      </c>
      <c r="F156" s="39" t="s">
        <v>1868</v>
      </c>
      <c r="G156" s="39" t="s">
        <v>1869</v>
      </c>
      <c r="H156" s="18"/>
      <c r="I156" s="39"/>
      <c r="J156" s="39"/>
      <c r="K156" s="39"/>
    </row>
    <row r="157" spans="2:11">
      <c r="B157" s="39" t="s">
        <v>1872</v>
      </c>
      <c r="C157" s="80">
        <v>23</v>
      </c>
      <c r="D157" s="13">
        <f>SUMSQ(C147:E154)*2</f>
        <v>65.776797916666652</v>
      </c>
      <c r="E157" s="13">
        <f>D157/C157</f>
        <v>2.8598607789855066</v>
      </c>
      <c r="F157" s="13">
        <f>E157/E158</f>
        <v>3.2047671689449366</v>
      </c>
      <c r="G157" s="13">
        <f>_xlfn.F.DIST.RT(F157,C157,C158)</f>
        <v>3.1362107219585766E-3</v>
      </c>
      <c r="H157" s="18"/>
      <c r="I157" s="39"/>
      <c r="J157" s="39"/>
      <c r="K157" s="39"/>
    </row>
    <row r="158" spans="2:11">
      <c r="B158" s="39" t="s">
        <v>1863</v>
      </c>
      <c r="C158" s="80">
        <f>C159-C157</f>
        <v>24</v>
      </c>
      <c r="D158" s="13">
        <f>SUMSQ(F147:K154)</f>
        <v>21.41705</v>
      </c>
      <c r="E158" s="13">
        <f>D158/C158</f>
        <v>0.89237708333333332</v>
      </c>
      <c r="F158" s="13"/>
      <c r="G158" s="13"/>
      <c r="H158" s="18"/>
      <c r="I158" s="39"/>
      <c r="J158" s="39"/>
      <c r="K158" s="39"/>
    </row>
    <row r="159" spans="2:11">
      <c r="B159" s="39" t="s">
        <v>1864</v>
      </c>
      <c r="C159" s="80">
        <v>47</v>
      </c>
      <c r="D159" s="13">
        <f>SUMSQ(C135:H142)-48*C143^2</f>
        <v>87.193847916665618</v>
      </c>
      <c r="E159" s="13"/>
      <c r="F159" s="13"/>
      <c r="G159" s="13"/>
      <c r="H159" s="18"/>
      <c r="I159" s="39"/>
      <c r="J159" s="39"/>
      <c r="K159" s="39"/>
    </row>
    <row r="160" spans="2:11">
      <c r="C160" s="39"/>
      <c r="D160" s="39"/>
      <c r="E160" s="39"/>
      <c r="F160" s="39"/>
      <c r="G160" s="39"/>
      <c r="H160" s="39" t="s">
        <v>1873</v>
      </c>
      <c r="I160" s="39"/>
      <c r="J160" s="39"/>
      <c r="K160" s="39"/>
    </row>
    <row r="161" spans="2:9">
      <c r="B161" s="39"/>
      <c r="C161" t="s">
        <v>1186</v>
      </c>
    </row>
    <row r="162" spans="2:9">
      <c r="B162" t="s">
        <v>1187</v>
      </c>
      <c r="C162" t="s">
        <v>1188</v>
      </c>
      <c r="D162" t="s">
        <v>1189</v>
      </c>
      <c r="E162" t="s">
        <v>1190</v>
      </c>
      <c r="F162" t="s">
        <v>1191</v>
      </c>
      <c r="G162" t="s">
        <v>1192</v>
      </c>
      <c r="H162" t="s">
        <v>1193</v>
      </c>
      <c r="I162" t="s">
        <v>1194</v>
      </c>
    </row>
    <row r="163" spans="2:9">
      <c r="B163">
        <v>1</v>
      </c>
      <c r="C163" s="18">
        <f t="shared" ref="C163:E170" si="41">AVERAGE(C135,F135)</f>
        <v>11.555</v>
      </c>
      <c r="D163" s="18">
        <f t="shared" si="41"/>
        <v>10.265000000000001</v>
      </c>
      <c r="E163" s="18">
        <f t="shared" si="41"/>
        <v>12.475</v>
      </c>
      <c r="F163" s="18">
        <f>C163+D163</f>
        <v>21.82</v>
      </c>
      <c r="G163" s="18">
        <f>C163-D163</f>
        <v>1.2899999999999991</v>
      </c>
      <c r="H163" s="18">
        <f>C163+D163+E163</f>
        <v>34.295000000000002</v>
      </c>
      <c r="I163" s="18">
        <f>C163+D163-2*E163</f>
        <v>-3.129999999999999</v>
      </c>
    </row>
    <row r="164" spans="2:9">
      <c r="B164">
        <v>2</v>
      </c>
      <c r="C164" s="18">
        <f t="shared" si="41"/>
        <v>11.205</v>
      </c>
      <c r="D164" s="18">
        <f t="shared" si="41"/>
        <v>10.905000000000001</v>
      </c>
      <c r="E164" s="18">
        <f t="shared" si="41"/>
        <v>10.48</v>
      </c>
      <c r="F164" s="18">
        <f t="shared" ref="F164:F170" si="42">C164+D164</f>
        <v>22.11</v>
      </c>
      <c r="G164" s="18">
        <f t="shared" ref="G164:G170" si="43">C164-D164</f>
        <v>0.29999999999999893</v>
      </c>
      <c r="H164" s="18">
        <f t="shared" ref="H164:H170" si="44">C164+D164+E164</f>
        <v>32.590000000000003</v>
      </c>
      <c r="I164" s="18">
        <f t="shared" ref="I164:I170" si="45">C164+D164-2*E164</f>
        <v>1.1499999999999986</v>
      </c>
    </row>
    <row r="165" spans="2:9">
      <c r="B165">
        <v>3</v>
      </c>
      <c r="C165" s="18">
        <f t="shared" si="41"/>
        <v>11.719999999999999</v>
      </c>
      <c r="D165" s="18">
        <f t="shared" si="41"/>
        <v>7.6850000000000005</v>
      </c>
      <c r="E165" s="18">
        <f t="shared" si="41"/>
        <v>9.84</v>
      </c>
      <c r="F165" s="18">
        <f t="shared" si="42"/>
        <v>19.405000000000001</v>
      </c>
      <c r="G165" s="18">
        <f t="shared" si="43"/>
        <v>4.0349999999999984</v>
      </c>
      <c r="H165" s="18">
        <f t="shared" si="44"/>
        <v>29.245000000000001</v>
      </c>
      <c r="I165" s="18">
        <f t="shared" si="45"/>
        <v>-0.27499999999999858</v>
      </c>
    </row>
    <row r="166" spans="2:9">
      <c r="B166">
        <v>4</v>
      </c>
      <c r="C166" s="18">
        <f t="shared" si="41"/>
        <v>10.89</v>
      </c>
      <c r="D166" s="18">
        <f t="shared" si="41"/>
        <v>9.6849999999999987</v>
      </c>
      <c r="E166" s="18">
        <f t="shared" si="41"/>
        <v>11.29</v>
      </c>
      <c r="F166" s="18">
        <f t="shared" si="42"/>
        <v>20.574999999999999</v>
      </c>
      <c r="G166" s="18">
        <f t="shared" si="43"/>
        <v>1.2050000000000018</v>
      </c>
      <c r="H166" s="18">
        <f t="shared" si="44"/>
        <v>31.864999999999998</v>
      </c>
      <c r="I166" s="18">
        <f t="shared" si="45"/>
        <v>-2.004999999999999</v>
      </c>
    </row>
    <row r="167" spans="2:9">
      <c r="B167">
        <v>5</v>
      </c>
      <c r="C167" s="18">
        <f t="shared" si="41"/>
        <v>11.105</v>
      </c>
      <c r="D167" s="18">
        <f t="shared" si="41"/>
        <v>12.030000000000001</v>
      </c>
      <c r="E167" s="18">
        <f t="shared" si="41"/>
        <v>10.495000000000001</v>
      </c>
      <c r="F167" s="18">
        <f t="shared" si="42"/>
        <v>23.135000000000002</v>
      </c>
      <c r="G167" s="18">
        <f t="shared" si="43"/>
        <v>-0.92500000000000071</v>
      </c>
      <c r="H167" s="18">
        <f t="shared" si="44"/>
        <v>33.630000000000003</v>
      </c>
      <c r="I167" s="18">
        <f t="shared" si="45"/>
        <v>2.1449999999999996</v>
      </c>
    </row>
    <row r="168" spans="2:9">
      <c r="B168">
        <v>6</v>
      </c>
      <c r="C168" s="18">
        <f t="shared" si="41"/>
        <v>12.074999999999999</v>
      </c>
      <c r="D168" s="18">
        <f t="shared" si="41"/>
        <v>9.11</v>
      </c>
      <c r="E168" s="18">
        <f t="shared" si="41"/>
        <v>10.649999999999999</v>
      </c>
      <c r="F168" s="18">
        <f t="shared" si="42"/>
        <v>21.184999999999999</v>
      </c>
      <c r="G168" s="18">
        <f t="shared" si="43"/>
        <v>2.9649999999999999</v>
      </c>
      <c r="H168" s="18">
        <f t="shared" si="44"/>
        <v>31.834999999999997</v>
      </c>
      <c r="I168" s="18">
        <f t="shared" si="45"/>
        <v>-0.11499999999999844</v>
      </c>
    </row>
    <row r="169" spans="2:9">
      <c r="B169">
        <v>7</v>
      </c>
      <c r="C169" s="18">
        <f t="shared" si="41"/>
        <v>11.27</v>
      </c>
      <c r="D169" s="18">
        <f t="shared" si="41"/>
        <v>8.9350000000000005</v>
      </c>
      <c r="E169" s="18">
        <f t="shared" si="41"/>
        <v>10.17</v>
      </c>
      <c r="F169" s="18">
        <f t="shared" si="42"/>
        <v>20.204999999999998</v>
      </c>
      <c r="G169" s="18">
        <f t="shared" si="43"/>
        <v>2.3349999999999991</v>
      </c>
      <c r="H169" s="18">
        <f t="shared" si="44"/>
        <v>30.375</v>
      </c>
      <c r="I169" s="18">
        <f t="shared" si="45"/>
        <v>-0.13500000000000156</v>
      </c>
    </row>
    <row r="170" spans="2:9">
      <c r="B170">
        <v>8</v>
      </c>
      <c r="C170" s="18">
        <f t="shared" si="41"/>
        <v>13.105</v>
      </c>
      <c r="D170" s="18">
        <f t="shared" si="41"/>
        <v>10.14</v>
      </c>
      <c r="E170" s="18">
        <f t="shared" si="41"/>
        <v>10.865</v>
      </c>
      <c r="F170" s="18">
        <f t="shared" si="42"/>
        <v>23.245000000000001</v>
      </c>
      <c r="G170" s="18">
        <f t="shared" si="43"/>
        <v>2.9649999999999999</v>
      </c>
      <c r="H170" s="18">
        <f t="shared" si="44"/>
        <v>34.11</v>
      </c>
      <c r="I170" s="18">
        <f t="shared" si="45"/>
        <v>1.5150000000000006</v>
      </c>
    </row>
    <row r="171" spans="2:9">
      <c r="B171" t="s">
        <v>1196</v>
      </c>
      <c r="C171" s="18">
        <f t="shared" ref="C171:I171" si="46">AVERAGE(C163:C170)</f>
        <v>11.615625</v>
      </c>
      <c r="D171" s="18">
        <f t="shared" si="46"/>
        <v>9.8443750000000012</v>
      </c>
      <c r="E171" s="18">
        <f t="shared" si="46"/>
        <v>10.783124999999998</v>
      </c>
      <c r="F171" s="18">
        <f t="shared" si="46"/>
        <v>21.46</v>
      </c>
      <c r="G171" s="18">
        <f t="shared" si="46"/>
        <v>1.7712499999999995</v>
      </c>
      <c r="H171" s="18">
        <f t="shared" si="46"/>
        <v>32.243124999999999</v>
      </c>
      <c r="I171" s="18">
        <f t="shared" si="46"/>
        <v>-0.10624999999999973</v>
      </c>
    </row>
    <row r="172" spans="2:9">
      <c r="B172" t="s">
        <v>1197</v>
      </c>
      <c r="C172" s="13">
        <f t="shared" ref="C172:I172" si="47">VAR(C163:C170)</f>
        <v>0.50273883928571428</v>
      </c>
      <c r="D172" s="13">
        <f t="shared" si="47"/>
        <v>1.7458245535714079</v>
      </c>
      <c r="E172" s="13">
        <f t="shared" si="47"/>
        <v>0.65487098214285688</v>
      </c>
      <c r="F172" s="13">
        <f t="shared" si="47"/>
        <v>1.8858357142857156</v>
      </c>
      <c r="G172" s="13">
        <f t="shared" si="47"/>
        <v>2.6112910714285715</v>
      </c>
      <c r="H172" s="13">
        <f t="shared" si="47"/>
        <v>3.2181924107142876</v>
      </c>
      <c r="I172" s="13">
        <f t="shared" si="47"/>
        <v>3.1503482142857124</v>
      </c>
    </row>
    <row r="173" spans="2:9" ht="16.8">
      <c r="B173" t="s">
        <v>1874</v>
      </c>
      <c r="C173" t="s">
        <v>1875</v>
      </c>
      <c r="D173" t="s">
        <v>1876</v>
      </c>
      <c r="E173" t="s">
        <v>1877</v>
      </c>
      <c r="F173" t="s">
        <v>1202</v>
      </c>
      <c r="G173" t="s">
        <v>1203</v>
      </c>
      <c r="H173" s="13"/>
      <c r="I173" s="13"/>
    </row>
    <row r="174" spans="2:9">
      <c r="B174" t="s">
        <v>1198</v>
      </c>
      <c r="C174" s="13">
        <f>F172</f>
        <v>1.8858357142857156</v>
      </c>
      <c r="D174" s="13">
        <f>G172/2</f>
        <v>1.3056455357142858</v>
      </c>
      <c r="E174" s="13">
        <f>E158</f>
        <v>0.89237708333333332</v>
      </c>
      <c r="F174" s="13">
        <f>C174/SUM(C174:E174)</f>
        <v>0.4617779463340137</v>
      </c>
      <c r="G174" s="13">
        <f>(C174+D174)/SUM(C174:E174)</f>
        <v>0.78148676802778416</v>
      </c>
      <c r="H174" s="13"/>
      <c r="I174" s="13"/>
    </row>
    <row r="175" spans="2:9">
      <c r="B175" t="s">
        <v>1199</v>
      </c>
      <c r="C175" s="13">
        <f>H172*4/9</f>
        <v>1.4303077380952389</v>
      </c>
      <c r="D175" s="13">
        <f>G172/2</f>
        <v>1.3056455357142858</v>
      </c>
      <c r="E175" s="13">
        <f>E174</f>
        <v>0.89237708333333332</v>
      </c>
      <c r="F175" s="13">
        <f>C175/SUM(C175:E175)</f>
        <v>0.39420548773335512</v>
      </c>
      <c r="G175" s="13">
        <f>(C175+D175)/SUM(C175:E175)</f>
        <v>0.75405296775786457</v>
      </c>
    </row>
    <row r="177" spans="1:16">
      <c r="A177" s="11" t="s">
        <v>1204</v>
      </c>
      <c r="C177" t="s">
        <v>1205</v>
      </c>
      <c r="F177" t="s">
        <v>1206</v>
      </c>
      <c r="I177" t="s">
        <v>1207</v>
      </c>
      <c r="L177" s="11" t="s">
        <v>1208</v>
      </c>
    </row>
    <row r="178" spans="1:16">
      <c r="B178" t="s">
        <v>1209</v>
      </c>
      <c r="C178" t="s">
        <v>1184</v>
      </c>
      <c r="D178" t="s">
        <v>1185</v>
      </c>
      <c r="E178" t="s">
        <v>1210</v>
      </c>
      <c r="F178" t="s">
        <v>1184</v>
      </c>
      <c r="G178" t="s">
        <v>1185</v>
      </c>
      <c r="H178" t="s">
        <v>1210</v>
      </c>
      <c r="I178" t="s">
        <v>1184</v>
      </c>
      <c r="J178" t="s">
        <v>1185</v>
      </c>
      <c r="K178" t="s">
        <v>1210</v>
      </c>
      <c r="L178" t="s">
        <v>1184</v>
      </c>
      <c r="M178" t="s">
        <v>1185</v>
      </c>
      <c r="N178" t="s">
        <v>1210</v>
      </c>
      <c r="O178" t="s">
        <v>1211</v>
      </c>
    </row>
    <row r="179" spans="1:16">
      <c r="B179" t="s">
        <v>1212</v>
      </c>
      <c r="C179" s="39">
        <v>5.4989999999999997</v>
      </c>
      <c r="D179" s="39">
        <v>5.9953500000000002</v>
      </c>
      <c r="E179" s="39">
        <v>5.4621000000000004</v>
      </c>
      <c r="F179" s="39">
        <v>2.5593750000000002</v>
      </c>
      <c r="G179" s="39">
        <v>2.6549999999999998</v>
      </c>
      <c r="H179" s="39">
        <v>2.4300000000000002</v>
      </c>
      <c r="I179" s="39">
        <v>2.25</v>
      </c>
      <c r="J179" s="39">
        <v>2.34</v>
      </c>
      <c r="K179" s="39">
        <v>2.25</v>
      </c>
      <c r="L179" s="39">
        <v>4.0860000000000003</v>
      </c>
      <c r="M179" s="39">
        <v>4.1849999999999996</v>
      </c>
      <c r="N179" s="39">
        <v>4.0049999999999999</v>
      </c>
      <c r="O179" s="39">
        <f>AVERAGE(C179:N179)</f>
        <v>3.6430687500000007</v>
      </c>
    </row>
    <row r="180" spans="1:16">
      <c r="B180" t="s">
        <v>1213</v>
      </c>
      <c r="C180" s="39">
        <v>1.6739999999999999</v>
      </c>
      <c r="D180" s="39">
        <v>2.4510000000000005</v>
      </c>
      <c r="E180" s="39">
        <v>1.6245000000000001</v>
      </c>
      <c r="F180" s="39">
        <v>2.6549999999999998</v>
      </c>
      <c r="G180" s="39">
        <v>2.4975000000000001</v>
      </c>
      <c r="H180" s="39">
        <v>2.7450000000000001</v>
      </c>
      <c r="I180" s="39">
        <v>2.61</v>
      </c>
      <c r="J180" s="39">
        <v>2.2050000000000001</v>
      </c>
      <c r="K180" s="39">
        <v>2.7450000000000001</v>
      </c>
      <c r="L180" s="39">
        <v>1.3454999999999999</v>
      </c>
      <c r="M180" s="39">
        <v>2.1194999999999999</v>
      </c>
      <c r="N180" s="39">
        <v>2.8050000000000002</v>
      </c>
      <c r="O180" s="39">
        <f t="shared" ref="O180:O188" si="48">AVERAGE(C180:N180)</f>
        <v>2.2897500000000002</v>
      </c>
    </row>
    <row r="181" spans="1:16">
      <c r="B181" t="s">
        <v>1214</v>
      </c>
      <c r="C181" s="39">
        <v>3.1252499999999999</v>
      </c>
      <c r="D181" s="39">
        <v>3.8417142857142861</v>
      </c>
      <c r="E181" s="39">
        <v>4.8543750000000001</v>
      </c>
      <c r="F181" s="39">
        <v>2.9249999999999998</v>
      </c>
      <c r="G181" s="39">
        <v>2.97</v>
      </c>
      <c r="H181" s="39">
        <v>2.7</v>
      </c>
      <c r="I181" s="39">
        <v>2.79</v>
      </c>
      <c r="J181" s="39">
        <v>3.105</v>
      </c>
      <c r="K181" s="39">
        <v>3.06</v>
      </c>
      <c r="L181" s="39">
        <v>3.8925000000000001</v>
      </c>
      <c r="M181" s="39">
        <v>3.1949999999999998</v>
      </c>
      <c r="N181" s="39">
        <v>3.15</v>
      </c>
      <c r="O181" s="39">
        <f t="shared" si="48"/>
        <v>3.300736607142857</v>
      </c>
    </row>
    <row r="182" spans="1:16">
      <c r="B182" t="s">
        <v>1215</v>
      </c>
      <c r="C182" s="39">
        <v>3.8187000000000002</v>
      </c>
      <c r="D182" s="39">
        <v>3.5343</v>
      </c>
      <c r="E182" s="39">
        <v>3.2967</v>
      </c>
      <c r="F182" s="39">
        <v>2.5649999999999999</v>
      </c>
      <c r="G182" s="39">
        <v>2.2050000000000001</v>
      </c>
      <c r="H182" s="39">
        <v>1.8</v>
      </c>
      <c r="I182" s="39">
        <v>4.0049999999999999</v>
      </c>
      <c r="J182" s="39">
        <v>3.69</v>
      </c>
      <c r="K182" s="39">
        <v>3.2250000000000001</v>
      </c>
      <c r="L182" s="39">
        <v>3.8340000000000001</v>
      </c>
      <c r="M182" s="39">
        <v>4.7249999999999996</v>
      </c>
      <c r="N182" s="39">
        <v>4.3274999999999997</v>
      </c>
      <c r="O182" s="39">
        <f t="shared" si="48"/>
        <v>3.4188500000000004</v>
      </c>
    </row>
    <row r="183" spans="1:16">
      <c r="B183" t="s">
        <v>1216</v>
      </c>
      <c r="C183" s="39">
        <v>3.4731000000000001</v>
      </c>
      <c r="D183" s="39">
        <v>3.8623500000000002</v>
      </c>
      <c r="E183" s="39">
        <v>3.024</v>
      </c>
      <c r="F183" s="39">
        <v>3.06</v>
      </c>
      <c r="G183" s="39">
        <v>2.61</v>
      </c>
      <c r="H183" s="39">
        <v>2.7225000000000001</v>
      </c>
      <c r="I183" s="39">
        <v>3.6</v>
      </c>
      <c r="J183" s="39">
        <v>3.105</v>
      </c>
      <c r="K183" s="39">
        <v>3.15</v>
      </c>
      <c r="L183" s="39">
        <v>3.6629999999999998</v>
      </c>
      <c r="M183" s="39">
        <v>3.7080000000000002</v>
      </c>
      <c r="N183" s="39">
        <v>3.8879999999999999</v>
      </c>
      <c r="O183" s="39">
        <f t="shared" si="48"/>
        <v>3.3221624999999997</v>
      </c>
    </row>
    <row r="184" spans="1:16">
      <c r="B184" t="s">
        <v>1217</v>
      </c>
      <c r="C184" s="39">
        <v>4.0679999999999996</v>
      </c>
      <c r="D184" s="39">
        <v>6.0030000000000001</v>
      </c>
      <c r="E184" s="39">
        <v>4.8802500000000002</v>
      </c>
      <c r="F184" s="39">
        <v>1.9350000000000001</v>
      </c>
      <c r="G184" s="39">
        <v>2.16</v>
      </c>
      <c r="H184" s="39">
        <v>2.1375000000000002</v>
      </c>
      <c r="I184" s="39">
        <v>2.16</v>
      </c>
      <c r="J184" s="39">
        <v>2.9249999999999998</v>
      </c>
      <c r="K184" s="39">
        <v>1.71</v>
      </c>
      <c r="L184" s="39">
        <v>4.2705000000000002</v>
      </c>
      <c r="M184" s="39">
        <v>3.1724999999999999</v>
      </c>
      <c r="N184" s="39">
        <v>4.3155000000000001</v>
      </c>
      <c r="O184" s="39">
        <f t="shared" si="48"/>
        <v>3.3114375000000003</v>
      </c>
    </row>
    <row r="185" spans="1:16">
      <c r="B185" t="s">
        <v>1218</v>
      </c>
      <c r="C185" s="39">
        <v>4.8402000000000003</v>
      </c>
      <c r="D185" s="39">
        <v>4.4665714285714282</v>
      </c>
      <c r="E185" s="39">
        <v>3.528</v>
      </c>
      <c r="F185" s="39">
        <v>1.845</v>
      </c>
      <c r="G185" s="39">
        <v>1.6875</v>
      </c>
      <c r="H185" s="39">
        <v>2.25</v>
      </c>
      <c r="I185" s="39">
        <v>2.3849999999999998</v>
      </c>
      <c r="J185" s="39">
        <v>2.0249999999999999</v>
      </c>
      <c r="K185" s="39">
        <v>2.5649999999999999</v>
      </c>
      <c r="L185" s="39">
        <v>3.7285714285714291</v>
      </c>
      <c r="M185" s="39">
        <v>3.645</v>
      </c>
      <c r="N185" s="39">
        <v>1.88</v>
      </c>
      <c r="O185" s="39">
        <f t="shared" si="48"/>
        <v>2.9038202380952378</v>
      </c>
    </row>
    <row r="186" spans="1:16">
      <c r="B186" t="s">
        <v>1219</v>
      </c>
      <c r="C186" s="39">
        <v>4.3319999999999999</v>
      </c>
      <c r="D186" s="39">
        <v>2.7847499999999998</v>
      </c>
      <c r="E186" s="39">
        <v>3.5247857142857142</v>
      </c>
      <c r="F186" s="39">
        <v>3.8250000000000002</v>
      </c>
      <c r="G186" s="39">
        <v>3.5775000000000001</v>
      </c>
      <c r="H186" s="39">
        <v>3.8025000000000002</v>
      </c>
      <c r="I186" s="39">
        <v>3.7349999999999999</v>
      </c>
      <c r="J186" s="39">
        <v>5.04</v>
      </c>
      <c r="K186" s="39">
        <v>4.4550000000000001</v>
      </c>
      <c r="L186" s="39">
        <v>3.33</v>
      </c>
      <c r="M186" s="39">
        <v>3.2962500000000001</v>
      </c>
      <c r="N186" s="39">
        <v>3.3814285714285708</v>
      </c>
      <c r="O186" s="39">
        <f t="shared" si="48"/>
        <v>3.757017857142857</v>
      </c>
    </row>
    <row r="187" spans="1:16" ht="16.8">
      <c r="B187" t="s">
        <v>1220</v>
      </c>
      <c r="C187" s="39">
        <v>5.1980000000000004</v>
      </c>
      <c r="D187" s="39">
        <v>5.46075</v>
      </c>
      <c r="E187" s="39">
        <v>4.6264500000000002</v>
      </c>
      <c r="F187" s="39">
        <v>4.32</v>
      </c>
      <c r="G187" s="39">
        <v>4.1174999999999997</v>
      </c>
      <c r="H187" s="39">
        <v>4.1399999999999997</v>
      </c>
      <c r="I187" s="39">
        <v>4.9050000000000002</v>
      </c>
      <c r="J187" s="39">
        <v>4.32</v>
      </c>
      <c r="K187" s="39">
        <v>3.96</v>
      </c>
      <c r="L187" s="39">
        <v>4.0590000000000002</v>
      </c>
      <c r="M187" s="39">
        <v>3.8969999999999998</v>
      </c>
      <c r="N187" s="39">
        <v>4.2885</v>
      </c>
      <c r="O187" s="39">
        <f t="shared" si="48"/>
        <v>4.4410166666666671</v>
      </c>
      <c r="P187" t="s">
        <v>1221</v>
      </c>
    </row>
    <row r="188" spans="1:16">
      <c r="B188" t="s">
        <v>1222</v>
      </c>
      <c r="C188" s="39">
        <v>3.8422499999999995</v>
      </c>
      <c r="D188" s="39">
        <v>4.1317500000000003</v>
      </c>
      <c r="E188" s="39">
        <v>4.9432499999999999</v>
      </c>
      <c r="F188" s="39">
        <v>2.8125</v>
      </c>
      <c r="G188" s="39">
        <v>3.33</v>
      </c>
      <c r="H188" s="39">
        <v>2.8125</v>
      </c>
      <c r="I188" s="39">
        <v>3.69</v>
      </c>
      <c r="J188" s="39">
        <v>3.15</v>
      </c>
      <c r="K188" s="39">
        <v>3.51</v>
      </c>
      <c r="L188" s="39">
        <v>2.8889999999999998</v>
      </c>
      <c r="M188" s="39">
        <v>1.5525</v>
      </c>
      <c r="N188" s="39">
        <v>2.1240000000000001</v>
      </c>
      <c r="O188" s="39">
        <f t="shared" si="48"/>
        <v>3.2323125000000008</v>
      </c>
      <c r="P188">
        <f>VAR(O179:O188)</f>
        <v>0.30965689296057991</v>
      </c>
    </row>
    <row r="189" spans="1:16">
      <c r="B189" t="s">
        <v>1223</v>
      </c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</row>
    <row r="190" spans="1:16">
      <c r="B190" t="s">
        <v>1224</v>
      </c>
      <c r="C190" s="39">
        <v>7.9438499999999994</v>
      </c>
      <c r="D190" s="39">
        <v>6.8484375000000002</v>
      </c>
      <c r="E190" s="39">
        <v>8.0500499999999988</v>
      </c>
      <c r="F190" s="39">
        <v>6.2549999999999999</v>
      </c>
      <c r="G190" s="39">
        <v>5.58</v>
      </c>
      <c r="H190" s="39">
        <v>5.0785714285714283</v>
      </c>
      <c r="I190" s="39">
        <v>7.65</v>
      </c>
      <c r="J190" s="39">
        <v>7.2450000000000001</v>
      </c>
      <c r="K190" s="39">
        <v>7.38</v>
      </c>
      <c r="L190" s="39">
        <v>7.46</v>
      </c>
      <c r="M190" s="39">
        <v>8.1</v>
      </c>
      <c r="N190" s="39">
        <v>7.7984999999999998</v>
      </c>
      <c r="O190" s="39">
        <f>AVERAGE(C190:N190)</f>
        <v>7.115784077380952</v>
      </c>
    </row>
    <row r="191" spans="1:16">
      <c r="B191" t="s">
        <v>1225</v>
      </c>
      <c r="C191" s="39">
        <v>6.6919499999999994</v>
      </c>
      <c r="D191" s="39">
        <v>8.8519500000000004</v>
      </c>
      <c r="E191" s="39">
        <v>7.7467499999999996</v>
      </c>
      <c r="F191" s="39">
        <v>8.2799999999999994</v>
      </c>
      <c r="G191" s="39">
        <v>6.2774999999999999</v>
      </c>
      <c r="H191" s="39">
        <v>5.58</v>
      </c>
      <c r="I191" s="39">
        <v>5.58</v>
      </c>
      <c r="J191" s="39">
        <v>6.2549999999999999</v>
      </c>
      <c r="K191" s="39">
        <v>6.21</v>
      </c>
      <c r="L191" s="39">
        <v>7.3935000000000004</v>
      </c>
      <c r="M191" s="39">
        <v>8.1225000000000005</v>
      </c>
      <c r="N191" s="39">
        <v>6.3315000000000001</v>
      </c>
      <c r="O191" s="39">
        <f t="shared" ref="O191:O199" si="49">AVERAGE(C191:N191)</f>
        <v>6.9433875000000009</v>
      </c>
    </row>
    <row r="192" spans="1:16">
      <c r="B192" t="s">
        <v>1226</v>
      </c>
      <c r="C192" s="39">
        <v>5.927999999999999</v>
      </c>
      <c r="D192" s="39">
        <v>6.1074000000000002</v>
      </c>
      <c r="E192" s="39">
        <v>7.3453500000000007</v>
      </c>
      <c r="F192" s="39">
        <v>3.4874999999999998</v>
      </c>
      <c r="G192" s="39">
        <v>2.6625000000000001</v>
      </c>
      <c r="H192" s="39">
        <v>1.8674999999999999</v>
      </c>
      <c r="I192" s="39">
        <v>5.8049999999999997</v>
      </c>
      <c r="J192" s="39">
        <v>5.625</v>
      </c>
      <c r="K192" s="39">
        <v>5.8049999999999997</v>
      </c>
      <c r="L192" s="39">
        <v>6.9524999999999997</v>
      </c>
      <c r="M192" s="39">
        <v>6.3584999999999994</v>
      </c>
      <c r="N192" s="39">
        <v>5.451428571428572</v>
      </c>
      <c r="O192" s="39">
        <f t="shared" si="49"/>
        <v>5.2829732142857138</v>
      </c>
    </row>
    <row r="193" spans="2:18">
      <c r="B193" t="s">
        <v>1227</v>
      </c>
      <c r="C193" s="39">
        <v>9.0013500000000004</v>
      </c>
      <c r="D193" s="39">
        <v>7.9323749999999995</v>
      </c>
      <c r="E193" s="39">
        <v>8.2125000000000004</v>
      </c>
      <c r="F193" s="39">
        <v>6.8849999999999998</v>
      </c>
      <c r="G193" s="39">
        <v>5.4675000000000002</v>
      </c>
      <c r="H193" s="39">
        <v>7.8525</v>
      </c>
      <c r="I193" s="39">
        <v>7.83</v>
      </c>
      <c r="J193" s="39">
        <v>6.57</v>
      </c>
      <c r="K193" s="39">
        <v>8.4600000000000009</v>
      </c>
      <c r="L193" s="39">
        <v>6.8714999999999993</v>
      </c>
      <c r="M193" s="39">
        <v>8.8829999999999991</v>
      </c>
      <c r="N193" s="39">
        <v>8.93</v>
      </c>
      <c r="O193" s="39">
        <f t="shared" si="49"/>
        <v>7.7413104166666669</v>
      </c>
    </row>
    <row r="194" spans="2:18">
      <c r="B194" t="s">
        <v>1228</v>
      </c>
      <c r="C194" s="39">
        <v>7.6599000000000004</v>
      </c>
      <c r="D194" s="39">
        <v>8.6737500000000001</v>
      </c>
      <c r="E194" s="39">
        <v>8.1157500000000002</v>
      </c>
      <c r="F194" s="39">
        <v>4.1624999999999996</v>
      </c>
      <c r="G194" s="39">
        <v>4.68</v>
      </c>
      <c r="H194" s="39">
        <v>5.6924999999999999</v>
      </c>
      <c r="I194" s="39">
        <v>7.0650000000000004</v>
      </c>
      <c r="J194" s="39">
        <v>7.2</v>
      </c>
      <c r="K194" s="39">
        <v>6.66</v>
      </c>
      <c r="L194" s="39">
        <v>7.4609999999999994</v>
      </c>
      <c r="M194" s="39">
        <v>7.2314999999999996</v>
      </c>
      <c r="N194" s="39">
        <v>7.1145000000000005</v>
      </c>
      <c r="O194" s="39">
        <f t="shared" si="49"/>
        <v>6.8097000000000003</v>
      </c>
    </row>
    <row r="195" spans="2:18">
      <c r="B195" t="s">
        <v>1229</v>
      </c>
      <c r="C195" s="39">
        <v>8.4086999999999996</v>
      </c>
      <c r="D195" s="39">
        <v>8.4784499999999987</v>
      </c>
      <c r="E195" s="39">
        <v>8.5608000000000004</v>
      </c>
      <c r="F195" s="39">
        <v>6.4349999999999996</v>
      </c>
      <c r="G195" s="39">
        <v>6.0750000000000002</v>
      </c>
      <c r="H195" s="39">
        <v>7.2225000000000001</v>
      </c>
      <c r="I195" s="39">
        <v>7.11</v>
      </c>
      <c r="J195" s="39">
        <v>6.6150000000000002</v>
      </c>
      <c r="K195" s="39">
        <v>6.93</v>
      </c>
      <c r="L195" s="39">
        <v>7.1910000000000007</v>
      </c>
      <c r="M195" s="39">
        <v>5.9850000000000003</v>
      </c>
      <c r="N195" s="39">
        <v>8.1044999999999998</v>
      </c>
      <c r="O195" s="39">
        <f t="shared" si="49"/>
        <v>7.2596625000000001</v>
      </c>
    </row>
    <row r="196" spans="2:18">
      <c r="B196" t="s">
        <v>1230</v>
      </c>
      <c r="C196" s="39">
        <v>7.0526249999999999</v>
      </c>
      <c r="D196" s="39">
        <v>8.9414999999999996</v>
      </c>
      <c r="E196" s="39">
        <v>7.4737499999999999</v>
      </c>
      <c r="F196" s="39">
        <v>6.621428571428571</v>
      </c>
      <c r="G196" s="39">
        <v>6.5531249999999996</v>
      </c>
      <c r="H196" s="39">
        <v>5.6571428571428566</v>
      </c>
      <c r="I196" s="39">
        <v>6.12</v>
      </c>
      <c r="J196" s="39">
        <v>6.5250000000000004</v>
      </c>
      <c r="K196" s="39">
        <v>6.5250000000000004</v>
      </c>
      <c r="L196" s="39">
        <v>6.9930000000000003</v>
      </c>
      <c r="M196" s="39">
        <v>6.327</v>
      </c>
      <c r="N196" s="39">
        <v>6.4035000000000002</v>
      </c>
      <c r="O196" s="39">
        <f t="shared" si="49"/>
        <v>6.7660892857142843</v>
      </c>
    </row>
    <row r="197" spans="2:18">
      <c r="B197" t="s">
        <v>1231</v>
      </c>
      <c r="C197" s="39">
        <v>9.4171499999999977</v>
      </c>
      <c r="D197" s="39">
        <v>6.6420000000000003</v>
      </c>
      <c r="E197" s="39">
        <v>7.5820499999999997</v>
      </c>
      <c r="F197" s="39">
        <v>6.0750000000000002</v>
      </c>
      <c r="G197" s="39">
        <v>5.1749999999999998</v>
      </c>
      <c r="H197" s="39">
        <v>4.0049999999999999</v>
      </c>
      <c r="I197" s="39">
        <v>6.57</v>
      </c>
      <c r="J197" s="39">
        <v>6.6150000000000002</v>
      </c>
      <c r="K197" s="39">
        <v>5.4450000000000003</v>
      </c>
      <c r="L197" s="39">
        <v>7.5060000000000002</v>
      </c>
      <c r="M197" s="39">
        <v>6.2864999999999993</v>
      </c>
      <c r="N197" s="39">
        <v>7.6184999999999992</v>
      </c>
      <c r="O197" s="39">
        <f t="shared" si="49"/>
        <v>6.5781000000000001</v>
      </c>
    </row>
    <row r="198" spans="2:18">
      <c r="B198" t="s">
        <v>1232</v>
      </c>
      <c r="C198" s="39">
        <v>7.4254499999999997</v>
      </c>
      <c r="D198" s="39">
        <v>7.4209500000000004</v>
      </c>
      <c r="E198" s="39">
        <v>8.312850000000001</v>
      </c>
      <c r="F198" s="39">
        <v>4.5225</v>
      </c>
      <c r="G198" s="39">
        <v>4.2750000000000004</v>
      </c>
      <c r="H198" s="39">
        <v>4.1399999999999997</v>
      </c>
      <c r="I198" s="39">
        <v>4.5</v>
      </c>
      <c r="J198" s="39">
        <v>5.4</v>
      </c>
      <c r="K198" s="39">
        <v>5.04</v>
      </c>
      <c r="L198" s="39">
        <v>6.4844999999999997</v>
      </c>
      <c r="M198" s="39">
        <v>7.14</v>
      </c>
      <c r="N198" s="39">
        <v>5.85</v>
      </c>
      <c r="O198" s="39">
        <f t="shared" si="49"/>
        <v>5.8759374999999991</v>
      </c>
      <c r="P198" t="s">
        <v>1233</v>
      </c>
      <c r="Q198" t="s">
        <v>1200</v>
      </c>
      <c r="R198" t="s">
        <v>1201</v>
      </c>
    </row>
    <row r="199" spans="2:18">
      <c r="B199" t="s">
        <v>1234</v>
      </c>
      <c r="C199" s="39">
        <v>6.92</v>
      </c>
      <c r="D199" s="39">
        <v>7.0290000000000008</v>
      </c>
      <c r="E199" s="39">
        <v>9.0350999999999999</v>
      </c>
      <c r="F199" s="39">
        <v>3.5550000000000002</v>
      </c>
      <c r="G199" s="39">
        <v>2.9024999999999999</v>
      </c>
      <c r="H199" s="39">
        <v>1.1924999999999999</v>
      </c>
      <c r="I199" s="39">
        <v>3.87</v>
      </c>
      <c r="J199" s="39">
        <v>4.68</v>
      </c>
      <c r="K199" s="39">
        <v>5.22</v>
      </c>
      <c r="L199" s="39">
        <v>4.7300000000000004</v>
      </c>
      <c r="M199" s="39">
        <v>5.4089999999999998</v>
      </c>
      <c r="N199" s="39">
        <v>5.7015000000000002</v>
      </c>
      <c r="O199" s="39">
        <f t="shared" si="49"/>
        <v>5.0203833333333341</v>
      </c>
      <c r="P199">
        <f>VAR(O190:O199)</f>
        <v>0.76788237565182904</v>
      </c>
      <c r="Q199">
        <f>P188/2</f>
        <v>0.15482844648028996</v>
      </c>
      <c r="R199">
        <f>P199-Q199</f>
        <v>0.61305392917153911</v>
      </c>
    </row>
    <row r="201" spans="2:18">
      <c r="D201" t="s">
        <v>1235</v>
      </c>
      <c r="G201" t="s">
        <v>1236</v>
      </c>
      <c r="I201" t="s">
        <v>1237</v>
      </c>
    </row>
    <row r="202" spans="2:18">
      <c r="B202" t="s">
        <v>1238</v>
      </c>
      <c r="C202" t="s">
        <v>1239</v>
      </c>
      <c r="D202" s="40" t="s">
        <v>1240</v>
      </c>
      <c r="E202" s="40" t="s">
        <v>1241</v>
      </c>
      <c r="F202" t="s">
        <v>1242</v>
      </c>
      <c r="G202" s="40" t="s">
        <v>1240</v>
      </c>
      <c r="H202" s="40" t="s">
        <v>1241</v>
      </c>
      <c r="I202" s="40" t="s">
        <v>1243</v>
      </c>
      <c r="J202" s="40" t="s">
        <v>1186</v>
      </c>
    </row>
    <row r="203" spans="2:18">
      <c r="B203" t="s">
        <v>1244</v>
      </c>
      <c r="C203" t="s">
        <v>1205</v>
      </c>
      <c r="D203" s="41">
        <v>3.3574999999999999</v>
      </c>
      <c r="E203" s="41">
        <v>0.379</v>
      </c>
      <c r="F203" s="41">
        <v>8.8595000000000006</v>
      </c>
      <c r="G203" s="41">
        <v>0.9929</v>
      </c>
      <c r="H203" s="41">
        <v>0.379</v>
      </c>
      <c r="I203" s="41">
        <v>0.72370000000000001</v>
      </c>
      <c r="J203" s="41">
        <v>0.8871</v>
      </c>
    </row>
    <row r="204" spans="2:18">
      <c r="C204" t="s">
        <v>1206</v>
      </c>
      <c r="D204" s="41">
        <v>1.5297000000000001</v>
      </c>
      <c r="E204" s="41">
        <v>4.7300000000000002E-2</v>
      </c>
      <c r="F204" s="41">
        <v>32.345599999999997</v>
      </c>
      <c r="G204" s="41">
        <v>0.49409999999999998</v>
      </c>
      <c r="H204" s="41">
        <v>4.7300000000000002E-2</v>
      </c>
      <c r="I204" s="41">
        <v>0.91269999999999996</v>
      </c>
      <c r="J204" s="41">
        <v>0.96909999999999996</v>
      </c>
    </row>
    <row r="205" spans="2:18">
      <c r="C205" t="s">
        <v>1207</v>
      </c>
      <c r="D205" s="41">
        <v>2.0434999999999999</v>
      </c>
      <c r="E205" s="41">
        <v>0.1525</v>
      </c>
      <c r="F205" s="41">
        <v>13.403499999999999</v>
      </c>
      <c r="G205" s="41">
        <v>0.63039999999999996</v>
      </c>
      <c r="H205" s="41">
        <v>0.1525</v>
      </c>
      <c r="I205" s="41">
        <v>0.80520000000000003</v>
      </c>
      <c r="J205" s="41">
        <v>0.9254</v>
      </c>
    </row>
    <row r="206" spans="2:18">
      <c r="C206" t="s">
        <v>1208</v>
      </c>
      <c r="D206" s="41">
        <v>1.8088</v>
      </c>
      <c r="E206" s="41">
        <v>0.29389999999999999</v>
      </c>
      <c r="F206" s="41">
        <v>6.1543999999999999</v>
      </c>
      <c r="G206" s="41">
        <v>0.505</v>
      </c>
      <c r="H206" s="41">
        <v>0.29389999999999999</v>
      </c>
      <c r="I206" s="41">
        <v>0.6321</v>
      </c>
      <c r="J206" s="41">
        <v>0.83750000000000002</v>
      </c>
    </row>
    <row r="207" spans="2:18">
      <c r="B207" t="s">
        <v>1245</v>
      </c>
      <c r="C207" t="s">
        <v>1205</v>
      </c>
      <c r="D207" s="41">
        <v>0.92669999999999997</v>
      </c>
      <c r="E207" s="41">
        <v>0.74439999999999995</v>
      </c>
      <c r="F207" s="41">
        <v>1.2450000000000001</v>
      </c>
      <c r="G207" s="41">
        <v>6.08E-2</v>
      </c>
      <c r="H207" s="41">
        <v>1.2450000000000001</v>
      </c>
      <c r="I207" s="41">
        <v>7.5499999999999998E-2</v>
      </c>
      <c r="J207" s="41">
        <v>0.1968</v>
      </c>
    </row>
    <row r="208" spans="2:18">
      <c r="C208" t="s">
        <v>1206</v>
      </c>
      <c r="D208" s="41">
        <v>7.0422000000000002</v>
      </c>
      <c r="E208" s="41">
        <v>0.8246</v>
      </c>
      <c r="F208" s="41">
        <v>8.9771000000000001</v>
      </c>
      <c r="G208" s="41">
        <v>2.1926000000000001</v>
      </c>
      <c r="H208" s="41">
        <v>0.8246</v>
      </c>
      <c r="I208" s="41">
        <v>0.72670000000000001</v>
      </c>
      <c r="J208" s="41">
        <v>0.88859999999999995</v>
      </c>
    </row>
    <row r="209" spans="2:12">
      <c r="C209" t="s">
        <v>1207</v>
      </c>
      <c r="D209" s="41">
        <v>2.9590999999999998</v>
      </c>
      <c r="E209" s="41">
        <v>0.2424</v>
      </c>
      <c r="F209" s="41">
        <v>12.2094</v>
      </c>
      <c r="G209" s="41">
        <v>0.90559999999999996</v>
      </c>
      <c r="H209" s="41">
        <v>0.2424</v>
      </c>
      <c r="I209" s="41">
        <v>0.78890000000000005</v>
      </c>
      <c r="J209" s="41">
        <v>0.91810000000000003</v>
      </c>
    </row>
    <row r="210" spans="2:12">
      <c r="C210" t="s">
        <v>1208</v>
      </c>
      <c r="D210" s="41">
        <v>2.0748000000000002</v>
      </c>
      <c r="E210" s="41">
        <v>0.53549999999999998</v>
      </c>
      <c r="F210" s="41">
        <v>3.8744000000000001</v>
      </c>
      <c r="G210" s="41">
        <v>0.5131</v>
      </c>
      <c r="H210" s="41">
        <v>0.53549999999999998</v>
      </c>
      <c r="I210" s="41">
        <v>0.48930000000000001</v>
      </c>
      <c r="J210" s="41">
        <v>0.7419</v>
      </c>
    </row>
    <row r="212" spans="2:12">
      <c r="C212" t="s">
        <v>1235</v>
      </c>
      <c r="G212" t="s">
        <v>1236</v>
      </c>
      <c r="K212" t="s">
        <v>1237</v>
      </c>
    </row>
    <row r="213" spans="2:12">
      <c r="B213" t="s">
        <v>1238</v>
      </c>
      <c r="C213" t="s">
        <v>1239</v>
      </c>
      <c r="D213" t="s">
        <v>1240</v>
      </c>
      <c r="E213" t="s">
        <v>1246</v>
      </c>
      <c r="F213" t="s">
        <v>1241</v>
      </c>
      <c r="G213" t="s">
        <v>1239</v>
      </c>
      <c r="H213" t="s">
        <v>1240</v>
      </c>
      <c r="I213" t="s">
        <v>1246</v>
      </c>
      <c r="J213" t="s">
        <v>1241</v>
      </c>
      <c r="K213" s="32" t="s">
        <v>1247</v>
      </c>
      <c r="L213" s="32" t="s">
        <v>1211</v>
      </c>
    </row>
    <row r="214" spans="2:12">
      <c r="B214" t="s">
        <v>1244</v>
      </c>
      <c r="C214">
        <v>26.103100000000001</v>
      </c>
      <c r="D214">
        <v>33.417999999999999</v>
      </c>
      <c r="E214">
        <v>45.238300000000002</v>
      </c>
      <c r="F214">
        <v>0.21820000000000001</v>
      </c>
      <c r="G214">
        <v>0.2828</v>
      </c>
      <c r="H214">
        <v>0.29120000000000001</v>
      </c>
      <c r="I214">
        <v>0.34</v>
      </c>
      <c r="J214">
        <v>0.21820000000000001</v>
      </c>
      <c r="K214">
        <v>0.34289999999999998</v>
      </c>
      <c r="L214">
        <v>0.94120000000000004</v>
      </c>
    </row>
    <row r="215" spans="2:12">
      <c r="B215" t="s">
        <v>1245</v>
      </c>
      <c r="C215">
        <v>37.513399999999997</v>
      </c>
      <c r="D215">
        <v>9.2085000000000008</v>
      </c>
      <c r="E215">
        <v>1.3848</v>
      </c>
      <c r="F215">
        <v>0.5867</v>
      </c>
      <c r="G215">
        <v>1.2309000000000001</v>
      </c>
      <c r="H215">
        <v>0.71850000000000003</v>
      </c>
      <c r="I215">
        <v>0.1862</v>
      </c>
      <c r="J215">
        <v>0.5867</v>
      </c>
      <c r="K215">
        <v>0.48180000000000001</v>
      </c>
      <c r="L215">
        <v>0.93630000000000002</v>
      </c>
    </row>
    <row r="217" spans="2:12" ht="18">
      <c r="D217" t="s">
        <v>1248</v>
      </c>
      <c r="E217" t="s">
        <v>1249</v>
      </c>
      <c r="F217" t="s">
        <v>1880</v>
      </c>
      <c r="G217" s="14" t="s">
        <v>1878</v>
      </c>
      <c r="H217" s="14" t="s">
        <v>1879</v>
      </c>
    </row>
    <row r="218" spans="2:12">
      <c r="C218" t="s">
        <v>1205</v>
      </c>
      <c r="D218">
        <f>G203/2</f>
        <v>0.49645</v>
      </c>
      <c r="E218" s="41">
        <v>0</v>
      </c>
      <c r="F218" s="41">
        <f>H207</f>
        <v>1.2450000000000001</v>
      </c>
      <c r="G218">
        <f>D218/SUM(D218:F218)</f>
        <v>0.28507852651526022</v>
      </c>
      <c r="H218">
        <f>(D218+E218)/SUM(D218:F218)</f>
        <v>0.28507852651526022</v>
      </c>
    </row>
    <row r="219" spans="2:12">
      <c r="C219" t="s">
        <v>1206</v>
      </c>
      <c r="D219">
        <f t="shared" ref="D219:D221" si="50">G204/2</f>
        <v>0.24704999999999999</v>
      </c>
      <c r="E219" s="41">
        <f t="shared" ref="E219:E221" si="51">G208-D219</f>
        <v>1.9455500000000001</v>
      </c>
      <c r="F219" s="41">
        <f t="shared" ref="F219:F221" si="52">H208</f>
        <v>0.8246</v>
      </c>
      <c r="G219">
        <f t="shared" ref="G219:G222" si="53">D219/SUM(D219:F219)</f>
        <v>8.1880551504706356E-2</v>
      </c>
      <c r="H219">
        <f t="shared" ref="H219:H222" si="54">(D219+E219)/SUM(D219:F219)</f>
        <v>0.72670025188916887</v>
      </c>
    </row>
    <row r="220" spans="2:12">
      <c r="C220" t="s">
        <v>1207</v>
      </c>
      <c r="D220">
        <f t="shared" si="50"/>
        <v>0.31519999999999998</v>
      </c>
      <c r="E220" s="41">
        <f t="shared" si="51"/>
        <v>0.59040000000000004</v>
      </c>
      <c r="F220" s="41">
        <f t="shared" si="52"/>
        <v>0.2424</v>
      </c>
      <c r="G220">
        <f t="shared" si="53"/>
        <v>0.27456445993031359</v>
      </c>
      <c r="H220">
        <f t="shared" si="54"/>
        <v>0.78885017421602788</v>
      </c>
    </row>
    <row r="221" spans="2:12">
      <c r="C221" t="s">
        <v>1208</v>
      </c>
      <c r="D221">
        <f t="shared" si="50"/>
        <v>0.2525</v>
      </c>
      <c r="E221" s="41">
        <f t="shared" si="51"/>
        <v>0.2606</v>
      </c>
      <c r="F221" s="41">
        <f t="shared" si="52"/>
        <v>0.53549999999999998</v>
      </c>
      <c r="G221">
        <f t="shared" si="53"/>
        <v>0.24079725348083159</v>
      </c>
      <c r="H221">
        <f t="shared" si="54"/>
        <v>0.48931909212283048</v>
      </c>
    </row>
    <row r="222" spans="2:12">
      <c r="C222" t="s">
        <v>1250</v>
      </c>
      <c r="D222">
        <f>H214/2</f>
        <v>0.14560000000000001</v>
      </c>
      <c r="E222" s="41">
        <f>H215-D222</f>
        <v>0.57289999999999996</v>
      </c>
      <c r="F222" s="41">
        <f>J215</f>
        <v>0.5867</v>
      </c>
      <c r="G222">
        <f t="shared" si="53"/>
        <v>0.11155378486055778</v>
      </c>
      <c r="H222">
        <f t="shared" si="54"/>
        <v>0.55049034630707938</v>
      </c>
    </row>
  </sheetData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A4" workbookViewId="0">
      <selection activeCell="G22" sqref="G22"/>
    </sheetView>
  </sheetViews>
  <sheetFormatPr defaultRowHeight="14.4"/>
  <cols>
    <col min="1" max="1" width="12.77734375" style="43" bestFit="1" customWidth="1"/>
    <col min="2" max="2" width="8.88671875" style="43"/>
    <col min="3" max="5" width="9.5546875" style="43" bestFit="1" customWidth="1"/>
    <col min="6" max="16384" width="8.88671875" style="43"/>
  </cols>
  <sheetData>
    <row r="1" spans="1:10" ht="18">
      <c r="A1" s="42" t="s">
        <v>1251</v>
      </c>
      <c r="B1" s="44" t="s">
        <v>1252</v>
      </c>
      <c r="C1" s="44" t="s">
        <v>1253</v>
      </c>
      <c r="D1" s="44" t="s">
        <v>1254</v>
      </c>
      <c r="E1" s="44" t="s">
        <v>1255</v>
      </c>
      <c r="F1" s="44" t="s">
        <v>1256</v>
      </c>
      <c r="G1" s="44" t="s">
        <v>1257</v>
      </c>
      <c r="H1" s="68" t="s">
        <v>1882</v>
      </c>
      <c r="I1" s="44" t="s">
        <v>1881</v>
      </c>
      <c r="J1" s="44"/>
    </row>
    <row r="2" spans="1:10">
      <c r="A2" s="44"/>
      <c r="B2" s="44">
        <v>0.01</v>
      </c>
      <c r="C2" s="45">
        <f>NORMINV(1-B2,0,1)</f>
        <v>2.3263478740408408</v>
      </c>
      <c r="D2" s="45">
        <f>1/SQRT(2*3.1415926)*EXP(-C2*C2/2)</f>
        <v>2.6652142430776345E-2</v>
      </c>
      <c r="E2" s="46">
        <f>D2/B2</f>
        <v>2.6652142430776347</v>
      </c>
      <c r="F2" s="44">
        <v>0.37</v>
      </c>
      <c r="G2" s="44">
        <v>10.7</v>
      </c>
      <c r="H2" s="46">
        <f>E2*SQRT(G2)</f>
        <v>8.7181435230266544</v>
      </c>
      <c r="I2" s="46">
        <f>E2*F2*SQRT(G2)</f>
        <v>3.2257131035198623</v>
      </c>
    </row>
    <row r="3" spans="1:10">
      <c r="A3" s="44"/>
      <c r="B3" s="44">
        <v>0.05</v>
      </c>
      <c r="C3" s="45">
        <f>NORMINV(1-B3,0,1)</f>
        <v>1.6448536269514715</v>
      </c>
      <c r="D3" s="45">
        <f>1/SQRT(2*3.1415926)*EXP(-C3*C3/2)</f>
        <v>0.1031356412550237</v>
      </c>
      <c r="E3" s="46">
        <f>D3/B3</f>
        <v>2.0627128251004736</v>
      </c>
      <c r="F3" s="44">
        <v>0.37</v>
      </c>
      <c r="G3" s="44">
        <v>10.7</v>
      </c>
      <c r="H3" s="46">
        <f t="shared" ref="H3:H5" si="0">E3*SQRT(G3)</f>
        <v>6.7473099030297661</v>
      </c>
      <c r="I3" s="46">
        <f>E3*F3*SQRT(G3)</f>
        <v>2.4965046641210136</v>
      </c>
    </row>
    <row r="4" spans="1:10">
      <c r="A4" s="44"/>
      <c r="B4" s="44">
        <v>0.25</v>
      </c>
      <c r="C4" s="45">
        <f>NORMINV(1-B4,0,1)</f>
        <v>0.67448975019608193</v>
      </c>
      <c r="D4" s="45">
        <f>1/SQRT(2*3.1415926)*EXP(-C4*C4/2)</f>
        <v>0.31777657539444887</v>
      </c>
      <c r="E4" s="46">
        <f>D4/B4</f>
        <v>1.2711063015777955</v>
      </c>
      <c r="F4" s="44">
        <v>0.37</v>
      </c>
      <c r="G4" s="44">
        <v>10.7</v>
      </c>
      <c r="H4" s="46">
        <f t="shared" si="0"/>
        <v>4.1578973243750692</v>
      </c>
      <c r="I4" s="46">
        <f>E4*F4*SQRT(G4)</f>
        <v>1.5384220100187755</v>
      </c>
    </row>
    <row r="5" spans="1:10">
      <c r="A5" s="44"/>
      <c r="B5" s="44">
        <v>0.5</v>
      </c>
      <c r="C5" s="45">
        <f>NORMINV(1-B5,0,1)</f>
        <v>0</v>
      </c>
      <c r="D5" s="45">
        <f>1/SQRT(2*3.1415926)*EXP(-C5*C5/2)</f>
        <v>0.39894228380404351</v>
      </c>
      <c r="E5" s="46">
        <f>D5/B5</f>
        <v>0.79788456760808701</v>
      </c>
      <c r="F5" s="44">
        <v>0.37</v>
      </c>
      <c r="G5" s="44">
        <v>10.7</v>
      </c>
      <c r="H5" s="46">
        <f t="shared" si="0"/>
        <v>2.6099485972965906</v>
      </c>
      <c r="I5" s="46">
        <f>E5*F5*SQRT(G5)</f>
        <v>0.96568098099973843</v>
      </c>
    </row>
    <row r="6" spans="1:10">
      <c r="A6" s="44"/>
      <c r="B6" s="44">
        <v>0.03</v>
      </c>
      <c r="C6" s="45">
        <f>NORMINV(1-B6,0,1)</f>
        <v>1.8807936081512504</v>
      </c>
      <c r="D6" s="45">
        <f>1/SQRT(2*3.1415926)*EXP(-C6*C6/2)</f>
        <v>6.8041951996777469E-2</v>
      </c>
      <c r="E6" s="46">
        <f>D6/B6</f>
        <v>2.2680650665592492</v>
      </c>
      <c r="F6" s="44"/>
      <c r="G6" s="44"/>
      <c r="H6" s="46"/>
      <c r="I6" s="46"/>
    </row>
    <row r="7" spans="1:10">
      <c r="A7" s="44"/>
      <c r="B7" s="44"/>
      <c r="C7" s="44"/>
      <c r="D7" s="44"/>
      <c r="E7" s="44"/>
      <c r="F7" s="44"/>
    </row>
    <row r="8" spans="1:10">
      <c r="A8" s="42" t="s">
        <v>1258</v>
      </c>
      <c r="B8" s="2" t="s">
        <v>1259</v>
      </c>
    </row>
    <row r="10" spans="1:10">
      <c r="A10" s="42" t="s">
        <v>1260</v>
      </c>
      <c r="B10" s="43" t="s">
        <v>1261</v>
      </c>
      <c r="C10" s="43" t="s">
        <v>1262</v>
      </c>
      <c r="D10" s="43" t="s">
        <v>1263</v>
      </c>
      <c r="E10" s="43" t="s">
        <v>1264</v>
      </c>
      <c r="F10" s="43" t="s">
        <v>1265</v>
      </c>
      <c r="G10" s="43" t="s">
        <v>1266</v>
      </c>
    </row>
    <row r="11" spans="1:10">
      <c r="B11" s="43">
        <v>1</v>
      </c>
      <c r="C11" s="43">
        <v>1</v>
      </c>
      <c r="D11" s="43">
        <f>C11/2</f>
        <v>0.5</v>
      </c>
      <c r="E11" s="43">
        <f>B11^2/2</f>
        <v>0.5</v>
      </c>
      <c r="F11" s="43">
        <f>C11^2/4</f>
        <v>0.25</v>
      </c>
      <c r="G11" s="43">
        <f>E11+F11</f>
        <v>0.75</v>
      </c>
    </row>
    <row r="12" spans="1:10">
      <c r="B12" s="43">
        <v>1</v>
      </c>
      <c r="C12" s="43">
        <v>0.5</v>
      </c>
      <c r="D12" s="43">
        <f t="shared" ref="D12:D13" si="1">C12/2</f>
        <v>0.25</v>
      </c>
      <c r="E12" s="43">
        <f>B12^2/2</f>
        <v>0.5</v>
      </c>
      <c r="F12" s="43">
        <f>C12^2/4</f>
        <v>6.25E-2</v>
      </c>
      <c r="G12" s="43">
        <f>E12+F12</f>
        <v>0.5625</v>
      </c>
    </row>
    <row r="13" spans="1:10">
      <c r="B13" s="43">
        <v>1</v>
      </c>
      <c r="C13" s="43">
        <v>0</v>
      </c>
      <c r="D13" s="43">
        <f t="shared" si="1"/>
        <v>0</v>
      </c>
      <c r="E13" s="43">
        <f>B13^2/2</f>
        <v>0.5</v>
      </c>
      <c r="F13" s="43">
        <f>C13^2/4</f>
        <v>0</v>
      </c>
      <c r="G13" s="43">
        <f>E13+F13</f>
        <v>0.5</v>
      </c>
    </row>
    <row r="14" spans="1:10">
      <c r="B14" s="43" t="s">
        <v>1267</v>
      </c>
      <c r="C14" s="43">
        <f>10+SUM(D11:D13)</f>
        <v>10.75</v>
      </c>
    </row>
    <row r="15" spans="1:10">
      <c r="B15" s="43" t="s">
        <v>1264</v>
      </c>
      <c r="C15" s="43">
        <f>SUM(E11:E13)</f>
        <v>1.5</v>
      </c>
    </row>
    <row r="16" spans="1:10">
      <c r="B16" s="43" t="s">
        <v>1265</v>
      </c>
      <c r="C16" s="43">
        <f>SUM(F11:F13)</f>
        <v>0.3125</v>
      </c>
    </row>
    <row r="17" spans="1:9">
      <c r="B17" s="43" t="s">
        <v>1268</v>
      </c>
      <c r="C17" s="43">
        <v>4</v>
      </c>
    </row>
    <row r="18" spans="1:9">
      <c r="B18" s="43" t="s">
        <v>1269</v>
      </c>
      <c r="C18" s="43">
        <f>SUM(C15:C17)</f>
        <v>5.8125</v>
      </c>
    </row>
    <row r="19" spans="1:9">
      <c r="B19" s="43" t="s">
        <v>1883</v>
      </c>
      <c r="C19" s="43">
        <f>C15/C18</f>
        <v>0.25806451612903225</v>
      </c>
    </row>
    <row r="20" spans="1:9">
      <c r="B20" s="43" t="s">
        <v>1884</v>
      </c>
      <c r="C20" s="43">
        <f>(C15+C16)/C18</f>
        <v>0.31182795698924731</v>
      </c>
    </row>
    <row r="22" spans="1:9">
      <c r="B22" s="43" t="s">
        <v>1271</v>
      </c>
      <c r="C22" s="47">
        <v>2.2681</v>
      </c>
    </row>
    <row r="23" spans="1:9">
      <c r="B23" s="43" t="s">
        <v>1272</v>
      </c>
      <c r="C23" s="47">
        <f>C22*SQRT(C18)</f>
        <v>5.4681910727520302</v>
      </c>
    </row>
    <row r="24" spans="1:9">
      <c r="B24" s="43" t="s">
        <v>1885</v>
      </c>
      <c r="C24" s="47">
        <f>C14+C23</f>
        <v>16.218191072752031</v>
      </c>
    </row>
    <row r="25" spans="1:9">
      <c r="C25" s="47"/>
    </row>
    <row r="26" spans="1:9">
      <c r="B26" s="43" t="s">
        <v>1273</v>
      </c>
      <c r="C26" s="43">
        <f>C22*SQRT(C19*C15)</f>
        <v>1.4111460832908465</v>
      </c>
    </row>
    <row r="27" spans="1:9">
      <c r="B27" s="43" t="s">
        <v>1274</v>
      </c>
      <c r="C27" s="43">
        <f>C14+C26</f>
        <v>12.161146083290847</v>
      </c>
    </row>
    <row r="29" spans="1:9">
      <c r="A29" s="42" t="s">
        <v>1275</v>
      </c>
      <c r="B29" s="43" t="s">
        <v>1276</v>
      </c>
    </row>
    <row r="31" spans="1:9">
      <c r="A31" s="42" t="s">
        <v>1277</v>
      </c>
      <c r="C31" s="43" t="s">
        <v>1278</v>
      </c>
      <c r="E31" s="43" t="s">
        <v>1279</v>
      </c>
      <c r="G31" s="43" t="s">
        <v>1280</v>
      </c>
    </row>
    <row r="32" spans="1:9" ht="16.8">
      <c r="C32" s="43" t="s">
        <v>1281</v>
      </c>
      <c r="D32" s="43" t="s">
        <v>1282</v>
      </c>
      <c r="E32" s="43" t="s">
        <v>1281</v>
      </c>
      <c r="F32" s="43" t="s">
        <v>1282</v>
      </c>
      <c r="G32" s="43" t="s">
        <v>1281</v>
      </c>
      <c r="H32" s="43" t="s">
        <v>1282</v>
      </c>
      <c r="I32" s="14" t="s">
        <v>1283</v>
      </c>
    </row>
    <row r="33" spans="1:9">
      <c r="B33" s="43" t="s">
        <v>1281</v>
      </c>
      <c r="C33" s="43">
        <v>287.5</v>
      </c>
      <c r="D33" s="43">
        <v>477.4</v>
      </c>
      <c r="E33" s="43">
        <v>128.69999999999999</v>
      </c>
      <c r="F33" s="43">
        <v>160.6</v>
      </c>
      <c r="G33" s="43">
        <f>C33-E33</f>
        <v>158.80000000000001</v>
      </c>
      <c r="H33" s="43">
        <f>D33-F33</f>
        <v>316.79999999999995</v>
      </c>
      <c r="I33" s="43">
        <f>E33/C33</f>
        <v>0.44765217391304346</v>
      </c>
    </row>
    <row r="34" spans="1:9">
      <c r="B34" s="43" t="s">
        <v>1282</v>
      </c>
      <c r="C34" s="43">
        <v>477.4</v>
      </c>
      <c r="D34" s="43">
        <v>935</v>
      </c>
      <c r="E34" s="43">
        <v>160.6</v>
      </c>
      <c r="F34" s="43">
        <v>254.6</v>
      </c>
      <c r="G34" s="43">
        <f>C34-E34</f>
        <v>316.79999999999995</v>
      </c>
      <c r="H34" s="43">
        <f>D34-F34</f>
        <v>680.4</v>
      </c>
      <c r="I34" s="43">
        <f>F34/D34</f>
        <v>0.27229946524064169</v>
      </c>
    </row>
    <row r="35" spans="1:9">
      <c r="B35" s="43" t="s">
        <v>1284</v>
      </c>
      <c r="C35" s="43">
        <f>C34/SQRT(C33*D34)</f>
        <v>0.9207838315533825</v>
      </c>
      <c r="E35" s="43">
        <f>E34/SQRT(E33*F34)</f>
        <v>0.88721130663397085</v>
      </c>
      <c r="G35" s="43">
        <f>G34/SQRT(G33*H34)</f>
        <v>0.96377969299497224</v>
      </c>
    </row>
    <row r="37" spans="1:9">
      <c r="B37" s="43" t="s">
        <v>1285</v>
      </c>
      <c r="C37" s="47">
        <f>E3</f>
        <v>2.0627128251004736</v>
      </c>
      <c r="D37" s="47">
        <f>E3</f>
        <v>2.0627128251004736</v>
      </c>
    </row>
    <row r="38" spans="1:9">
      <c r="B38" s="43" t="s">
        <v>1286</v>
      </c>
      <c r="D38" s="43">
        <f>D37*I34*SQRT(D34)</f>
        <v>17.174787120650649</v>
      </c>
    </row>
    <row r="39" spans="1:9">
      <c r="B39" s="43" t="s">
        <v>1287</v>
      </c>
      <c r="D39" s="43">
        <f>D37*E35*SQRT(I33*I34*D34)</f>
        <v>19.537337790131378</v>
      </c>
      <c r="E39" s="43" t="s">
        <v>1288</v>
      </c>
    </row>
    <row r="41" spans="1:9" ht="16.8">
      <c r="A41" s="42" t="s">
        <v>1289</v>
      </c>
      <c r="B41" s="43" t="s">
        <v>1290</v>
      </c>
      <c r="D41" s="43" t="s">
        <v>1291</v>
      </c>
      <c r="F41" s="43" t="s">
        <v>1292</v>
      </c>
      <c r="G41" s="43" t="s">
        <v>1293</v>
      </c>
      <c r="H41" s="43" t="s">
        <v>1891</v>
      </c>
    </row>
    <row r="42" spans="1:9">
      <c r="B42" s="43">
        <f t="array" ref="B42:C43">MINVERSE(C33:D34)</f>
        <v>2.2859663183033282E-2</v>
      </c>
      <c r="C42" s="43">
        <v>-1.1671875084042877E-2</v>
      </c>
      <c r="D42" s="47">
        <f t="array" ref="D42:E43">MMULT(B42:C43,E33:F34)</f>
        <v>1.0675355131590973</v>
      </c>
      <c r="E42" s="47">
        <v>0.69960251079782854</v>
      </c>
      <c r="F42" s="43">
        <v>1</v>
      </c>
      <c r="G42" s="47">
        <f t="array" ref="G42:G43">MMULT(D42:E43,F42:F43)</f>
        <v>1.4872970196377944</v>
      </c>
      <c r="H42" s="43">
        <f t="array" ref="H42:H43">MMULT(E33:F34,F42:F43)</f>
        <v>225.06</v>
      </c>
    </row>
    <row r="43" spans="1:9">
      <c r="B43" s="43">
        <v>-1.1671875084042875E-2</v>
      </c>
      <c r="C43" s="43">
        <v>7.029040818312373E-3</v>
      </c>
      <c r="D43" s="47">
        <v>-0.37330636789535099</v>
      </c>
      <c r="E43" s="47">
        <v>-8.490934615495549E-2</v>
      </c>
      <c r="F43" s="43">
        <v>0.6</v>
      </c>
      <c r="G43" s="47">
        <v>-0.42425197558832428</v>
      </c>
      <c r="H43" s="43">
        <v>313.36</v>
      </c>
    </row>
    <row r="44" spans="1:9">
      <c r="D44" s="42" t="s">
        <v>1294</v>
      </c>
      <c r="E44" s="42" t="s">
        <v>1295</v>
      </c>
      <c r="G44" s="42" t="s">
        <v>1296</v>
      </c>
    </row>
    <row r="45" spans="1:9">
      <c r="C45" s="43" t="s">
        <v>1890</v>
      </c>
      <c r="D45" s="47">
        <f>SQRT(I33)</f>
        <v>0.6690681384680065</v>
      </c>
      <c r="E45" s="47">
        <f>SQRT(I34)</f>
        <v>0.52182321263109954</v>
      </c>
      <c r="F45" s="43" t="s">
        <v>1893</v>
      </c>
      <c r="G45" s="47">
        <f>E3</f>
        <v>2.0627128251004736</v>
      </c>
    </row>
    <row r="46" spans="1:9" ht="16.8">
      <c r="C46" s="43" t="s">
        <v>1886</v>
      </c>
      <c r="D46" s="47">
        <f>SUMPRODUCT(D42:D43,E33:E34)</f>
        <v>77.438817859582457</v>
      </c>
      <c r="E46" s="47">
        <f>SUMPRODUCT(E42:E43,F33:F34)</f>
        <v>90.73824370307959</v>
      </c>
      <c r="F46" s="43" t="s">
        <v>1886</v>
      </c>
      <c r="G46" s="43">
        <f>SUMPRODUCT(G42:G43,H42:H43)</f>
        <v>201.78746816932468</v>
      </c>
    </row>
    <row r="47" spans="1:9" ht="18">
      <c r="C47" s="43" t="s">
        <v>1887</v>
      </c>
      <c r="D47" s="47">
        <f>D46/E33</f>
        <v>0.60170021646917227</v>
      </c>
      <c r="E47" s="47">
        <f>E46/F34</f>
        <v>0.35639530126896934</v>
      </c>
      <c r="F47" s="43" t="s">
        <v>1892</v>
      </c>
      <c r="G47" s="43">
        <f>G45*SQRT(G46)</f>
        <v>29.301230880110765</v>
      </c>
    </row>
    <row r="48" spans="1:9" ht="16.8">
      <c r="C48" s="43" t="s">
        <v>1888</v>
      </c>
      <c r="D48" s="47">
        <f>SQRT(D47)</f>
        <v>0.77569337786858295</v>
      </c>
      <c r="E48" s="47">
        <f>SQRT(E47)</f>
        <v>0.59698852691569315</v>
      </c>
      <c r="F48" s="43" t="s">
        <v>1894</v>
      </c>
      <c r="G48" s="43">
        <f>SUMPRODUCT(G42:G43,E33:E34)</f>
        <v>123.28025914789923</v>
      </c>
    </row>
    <row r="49" spans="3:7" ht="16.8">
      <c r="C49" s="43" t="s">
        <v>1889</v>
      </c>
      <c r="D49" s="47">
        <f>D48/D45</f>
        <v>1.1593637976017221</v>
      </c>
      <c r="E49" s="47">
        <f>E48/E45</f>
        <v>1.1440436386599218</v>
      </c>
      <c r="F49" s="43" t="s">
        <v>1895</v>
      </c>
      <c r="G49" s="43">
        <f>SUMPRODUCT(G42:G43,F33:F34)</f>
        <v>130.84534836904243</v>
      </c>
    </row>
    <row r="50" spans="3:7" ht="16.8">
      <c r="F50" s="43" t="s">
        <v>1896</v>
      </c>
      <c r="G50" s="43">
        <f>G45*G48/SQRT(G46)</f>
        <v>17.901326425392018</v>
      </c>
    </row>
    <row r="51" spans="3:7" ht="16.8">
      <c r="F51" s="43" t="s">
        <v>1897</v>
      </c>
      <c r="G51" s="43">
        <f>G45*G49/SQRT(G46)</f>
        <v>18.999840757864582</v>
      </c>
    </row>
  </sheetData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9"/>
  <sheetViews>
    <sheetView topLeftCell="A298" workbookViewId="0">
      <selection activeCell="I141" sqref="I141"/>
    </sheetView>
  </sheetViews>
  <sheetFormatPr defaultRowHeight="14.4"/>
  <cols>
    <col min="4" max="4" width="9.6640625" bestFit="1" customWidth="1"/>
    <col min="5" max="9" width="9.5546875" bestFit="1" customWidth="1"/>
  </cols>
  <sheetData>
    <row r="1" spans="1:9" ht="17.399999999999999">
      <c r="A1" s="11" t="s">
        <v>1297</v>
      </c>
      <c r="B1" s="48" t="s">
        <v>1298</v>
      </c>
      <c r="H1" t="s">
        <v>414</v>
      </c>
      <c r="I1" t="s">
        <v>1299</v>
      </c>
    </row>
    <row r="2" spans="1:9">
      <c r="H2">
        <v>10</v>
      </c>
      <c r="I2">
        <f>2^H2</f>
        <v>1024</v>
      </c>
    </row>
    <row r="3" spans="1:9">
      <c r="A3" s="11" t="s">
        <v>1300</v>
      </c>
      <c r="C3" t="s">
        <v>734</v>
      </c>
      <c r="D3" t="s">
        <v>10</v>
      </c>
      <c r="E3" t="s">
        <v>11</v>
      </c>
      <c r="F3" t="s">
        <v>1301</v>
      </c>
      <c r="H3">
        <v>15</v>
      </c>
      <c r="I3">
        <f t="shared" ref="I3:I4" si="0">2^H3</f>
        <v>32768</v>
      </c>
    </row>
    <row r="4" spans="1:9">
      <c r="B4" t="s">
        <v>491</v>
      </c>
      <c r="C4">
        <v>7</v>
      </c>
      <c r="D4">
        <v>0.25</v>
      </c>
      <c r="E4">
        <f>(1-E5)/2</f>
        <v>0.375</v>
      </c>
      <c r="F4">
        <v>0.5</v>
      </c>
      <c r="H4">
        <v>20</v>
      </c>
      <c r="I4">
        <f t="shared" si="0"/>
        <v>1048576</v>
      </c>
    </row>
    <row r="5" spans="1:9">
      <c r="B5" t="s">
        <v>492</v>
      </c>
      <c r="C5">
        <v>6</v>
      </c>
      <c r="D5">
        <v>0.5</v>
      </c>
      <c r="E5">
        <f>D5/2</f>
        <v>0.25</v>
      </c>
      <c r="F5">
        <v>0</v>
      </c>
    </row>
    <row r="6" spans="1:9">
      <c r="B6" t="s">
        <v>789</v>
      </c>
      <c r="C6">
        <v>3</v>
      </c>
      <c r="D6">
        <v>0.25</v>
      </c>
      <c r="E6">
        <f>E4</f>
        <v>0.375</v>
      </c>
      <c r="F6">
        <v>0.5</v>
      </c>
    </row>
    <row r="7" spans="1:9">
      <c r="B7" t="s">
        <v>1302</v>
      </c>
      <c r="D7">
        <f>SUMPRODUCT(D4:D6,C4:C6)</f>
        <v>5.5</v>
      </c>
      <c r="E7">
        <f>SUMPRODUCT(E4:E6,C4:C6)</f>
        <v>5.25</v>
      </c>
      <c r="F7">
        <f>SUMPRODUCT(F4:F6,C4:C6)</f>
        <v>5</v>
      </c>
    </row>
    <row r="8" spans="1:9">
      <c r="B8" t="s">
        <v>1303</v>
      </c>
      <c r="D8">
        <f>SUMPRODUCT(D4:D6,(C4:C6)^2)-D7^2</f>
        <v>2.25</v>
      </c>
      <c r="E8">
        <f>SUMPRODUCT(E4:E6,(C4:C6)^2)-E7^2</f>
        <v>3.1875</v>
      </c>
      <c r="F8">
        <f>SUMPRODUCT(F4:F6,(C4:C6)^2)-F7^2</f>
        <v>4</v>
      </c>
    </row>
    <row r="9" spans="1:9">
      <c r="B9" t="s">
        <v>1898</v>
      </c>
      <c r="C9">
        <f>(C4-C6)/2</f>
        <v>2</v>
      </c>
    </row>
    <row r="10" spans="1:9">
      <c r="B10" t="s">
        <v>1899</v>
      </c>
      <c r="C10">
        <f>C5-(C4+C6)/2</f>
        <v>1</v>
      </c>
    </row>
    <row r="11" spans="1:9">
      <c r="B11" t="s">
        <v>1900</v>
      </c>
      <c r="E11">
        <f>D7-E7</f>
        <v>0.25</v>
      </c>
      <c r="F11">
        <f>D7-F7</f>
        <v>0.5</v>
      </c>
    </row>
    <row r="13" spans="1:9">
      <c r="A13" s="11" t="s">
        <v>1304</v>
      </c>
      <c r="B13" t="s">
        <v>1907</v>
      </c>
      <c r="C13" t="s">
        <v>1305</v>
      </c>
      <c r="D13" t="s">
        <v>1901</v>
      </c>
      <c r="E13" t="s">
        <v>1902</v>
      </c>
      <c r="F13" t="s">
        <v>1306</v>
      </c>
      <c r="G13" t="s">
        <v>1307</v>
      </c>
    </row>
    <row r="14" spans="1:9">
      <c r="B14" s="14" t="s">
        <v>1903</v>
      </c>
      <c r="C14">
        <v>0.25</v>
      </c>
      <c r="D14">
        <v>7</v>
      </c>
      <c r="E14">
        <v>7</v>
      </c>
      <c r="F14">
        <v>7</v>
      </c>
      <c r="G14">
        <v>7</v>
      </c>
    </row>
    <row r="15" spans="1:9">
      <c r="B15" s="14" t="s">
        <v>1904</v>
      </c>
      <c r="C15">
        <v>0.25</v>
      </c>
      <c r="D15">
        <v>7</v>
      </c>
      <c r="E15">
        <v>3</v>
      </c>
      <c r="F15">
        <v>5</v>
      </c>
      <c r="G15">
        <v>6</v>
      </c>
    </row>
    <row r="16" spans="1:9">
      <c r="B16" s="14" t="s">
        <v>1905</v>
      </c>
      <c r="C16">
        <v>0.25</v>
      </c>
      <c r="D16">
        <v>3</v>
      </c>
      <c r="E16">
        <v>7</v>
      </c>
      <c r="F16">
        <v>5</v>
      </c>
      <c r="G16">
        <v>6</v>
      </c>
    </row>
    <row r="17" spans="1:13">
      <c r="B17" s="14" t="s">
        <v>1906</v>
      </c>
      <c r="C17">
        <v>0.25</v>
      </c>
      <c r="D17">
        <v>3</v>
      </c>
      <c r="E17">
        <v>3</v>
      </c>
      <c r="F17">
        <v>3</v>
      </c>
      <c r="G17">
        <v>3</v>
      </c>
    </row>
    <row r="18" spans="1:13">
      <c r="B18" t="s">
        <v>1308</v>
      </c>
      <c r="G18">
        <f>AVERAGE(G14:G17)</f>
        <v>5.5</v>
      </c>
    </row>
    <row r="19" spans="1:13">
      <c r="B19" t="s">
        <v>1303</v>
      </c>
      <c r="G19">
        <f>VARP(G14:G17)</f>
        <v>2.25</v>
      </c>
    </row>
    <row r="21" spans="1:13">
      <c r="A21" s="11" t="s">
        <v>1309</v>
      </c>
      <c r="B21" t="s">
        <v>1912</v>
      </c>
      <c r="C21" t="s">
        <v>1310</v>
      </c>
      <c r="D21" t="s">
        <v>1311</v>
      </c>
      <c r="E21" t="s">
        <v>1312</v>
      </c>
      <c r="F21" t="s">
        <v>1313</v>
      </c>
      <c r="G21" t="s">
        <v>1908</v>
      </c>
      <c r="H21" s="22" t="s">
        <v>1314</v>
      </c>
    </row>
    <row r="22" spans="1:13">
      <c r="B22" t="s">
        <v>800</v>
      </c>
      <c r="C22">
        <v>0.6</v>
      </c>
      <c r="D22">
        <f>1-C22</f>
        <v>0.4</v>
      </c>
      <c r="E22">
        <v>2</v>
      </c>
      <c r="F22">
        <v>1</v>
      </c>
      <c r="G22">
        <f>(C22-D22)*E22+2*C22*D22*F22</f>
        <v>0.87999999999999989</v>
      </c>
      <c r="H22">
        <f>-2*C22*D22*F22</f>
        <v>-0.48</v>
      </c>
    </row>
    <row r="23" spans="1:13">
      <c r="B23" t="s">
        <v>1315</v>
      </c>
      <c r="C23">
        <v>0.3</v>
      </c>
      <c r="D23">
        <f t="shared" ref="D23:D24" si="1">1-C23</f>
        <v>0.7</v>
      </c>
      <c r="E23">
        <v>3</v>
      </c>
      <c r="F23">
        <v>2</v>
      </c>
      <c r="G23">
        <f>(C23-D23)*E23+2*C23*D23*F23</f>
        <v>-0.36</v>
      </c>
      <c r="H23">
        <f>-2*C23*D23*F23</f>
        <v>-0.84</v>
      </c>
    </row>
    <row r="24" spans="1:13">
      <c r="B24" t="s">
        <v>1316</v>
      </c>
      <c r="C24">
        <v>0.8</v>
      </c>
      <c r="D24">
        <f t="shared" si="1"/>
        <v>0.19999999999999996</v>
      </c>
      <c r="E24">
        <v>1</v>
      </c>
      <c r="F24">
        <v>2</v>
      </c>
      <c r="G24">
        <f>(C24-D24)*E24+2*C24*D24*F24</f>
        <v>1.24</v>
      </c>
      <c r="H24">
        <f>-2*C24*D24*F24</f>
        <v>-0.6399999999999999</v>
      </c>
    </row>
    <row r="25" spans="1:13">
      <c r="B25" t="s">
        <v>1909</v>
      </c>
      <c r="G25">
        <f>SUM(G22:G24)</f>
        <v>1.7599999999999998</v>
      </c>
      <c r="H25">
        <f>SUM(H22:H24)</f>
        <v>-1.9599999999999997</v>
      </c>
    </row>
    <row r="27" spans="1:13">
      <c r="B27" t="s">
        <v>1910</v>
      </c>
      <c r="C27">
        <v>0</v>
      </c>
      <c r="D27">
        <v>0.1</v>
      </c>
      <c r="E27">
        <v>0.2</v>
      </c>
      <c r="F27">
        <v>0.5</v>
      </c>
      <c r="G27">
        <v>1</v>
      </c>
    </row>
    <row r="28" spans="1:13">
      <c r="B28" t="s">
        <v>1911</v>
      </c>
      <c r="C28">
        <f>10+G25</f>
        <v>11.76</v>
      </c>
      <c r="D28">
        <f>$C$28+$H$25*D27</f>
        <v>11.564</v>
      </c>
      <c r="E28">
        <f t="shared" ref="E28:G28" si="2">$C$28+$H$25*E27</f>
        <v>11.368</v>
      </c>
      <c r="F28">
        <f t="shared" si="2"/>
        <v>10.78</v>
      </c>
      <c r="G28">
        <f t="shared" si="2"/>
        <v>9.8000000000000007</v>
      </c>
    </row>
    <row r="30" spans="1:13">
      <c r="A30" s="11" t="s">
        <v>1317</v>
      </c>
      <c r="C30" t="s">
        <v>1318</v>
      </c>
      <c r="D30" t="s">
        <v>1319</v>
      </c>
      <c r="E30" t="s">
        <v>1320</v>
      </c>
      <c r="F30" t="s">
        <v>1321</v>
      </c>
      <c r="G30" t="s">
        <v>1322</v>
      </c>
      <c r="H30" t="s">
        <v>1323</v>
      </c>
      <c r="I30" t="s">
        <v>1324</v>
      </c>
      <c r="J30" t="s">
        <v>1325</v>
      </c>
      <c r="K30" t="s">
        <v>1326</v>
      </c>
      <c r="L30" t="s">
        <v>1327</v>
      </c>
      <c r="M30" t="s">
        <v>1328</v>
      </c>
    </row>
    <row r="31" spans="1:13">
      <c r="B31" t="s">
        <v>1329</v>
      </c>
      <c r="C31">
        <v>2.1</v>
      </c>
      <c r="D31">
        <f>1/16</f>
        <v>6.25E-2</v>
      </c>
      <c r="E31">
        <v>1</v>
      </c>
      <c r="F31">
        <v>1</v>
      </c>
      <c r="G31">
        <v>0</v>
      </c>
      <c r="H31">
        <v>1</v>
      </c>
      <c r="I31">
        <v>0</v>
      </c>
      <c r="J31">
        <f>F31*H31</f>
        <v>1</v>
      </c>
      <c r="K31">
        <f>F31*I31</f>
        <v>0</v>
      </c>
      <c r="L31">
        <f>G31*H31</f>
        <v>0</v>
      </c>
      <c r="M31">
        <f>G31*I31</f>
        <v>0</v>
      </c>
    </row>
    <row r="32" spans="1:13">
      <c r="B32" t="s">
        <v>1332</v>
      </c>
      <c r="C32">
        <v>9.8000000000000007</v>
      </c>
      <c r="D32">
        <f>1/8</f>
        <v>0.125</v>
      </c>
      <c r="E32">
        <v>1</v>
      </c>
      <c r="F32">
        <v>1</v>
      </c>
      <c r="G32">
        <v>0</v>
      </c>
      <c r="H32">
        <v>0</v>
      </c>
      <c r="I32">
        <v>1</v>
      </c>
      <c r="J32">
        <f t="shared" ref="J32:J39" si="3">F32*H32</f>
        <v>0</v>
      </c>
      <c r="K32">
        <f t="shared" ref="K32:K39" si="4">F32*I32</f>
        <v>1</v>
      </c>
      <c r="L32">
        <f t="shared" ref="L32:L39" si="5">G32*H32</f>
        <v>0</v>
      </c>
      <c r="M32">
        <f t="shared" ref="M32:M39" si="6">G32*I32</f>
        <v>0</v>
      </c>
    </row>
    <row r="33" spans="1:13">
      <c r="B33" t="s">
        <v>1330</v>
      </c>
      <c r="C33">
        <v>1.5</v>
      </c>
      <c r="D33">
        <f>1/16</f>
        <v>6.25E-2</v>
      </c>
      <c r="E33">
        <v>1</v>
      </c>
      <c r="F33">
        <v>1</v>
      </c>
      <c r="G33">
        <v>0</v>
      </c>
      <c r="H33">
        <v>-1</v>
      </c>
      <c r="I33">
        <v>0</v>
      </c>
      <c r="J33">
        <f t="shared" si="3"/>
        <v>-1</v>
      </c>
      <c r="K33">
        <f t="shared" si="4"/>
        <v>0</v>
      </c>
      <c r="L33">
        <f t="shared" si="5"/>
        <v>0</v>
      </c>
      <c r="M33">
        <f t="shared" si="6"/>
        <v>0</v>
      </c>
    </row>
    <row r="34" spans="1:13">
      <c r="B34" t="s">
        <v>1333</v>
      </c>
      <c r="C34">
        <v>4.7</v>
      </c>
      <c r="D34">
        <f>D31*2</f>
        <v>0.125</v>
      </c>
      <c r="E34">
        <v>1</v>
      </c>
      <c r="F34">
        <v>0</v>
      </c>
      <c r="G34">
        <v>1</v>
      </c>
      <c r="H34">
        <v>1</v>
      </c>
      <c r="I34">
        <v>0</v>
      </c>
      <c r="J34">
        <f t="shared" si="3"/>
        <v>0</v>
      </c>
      <c r="K34">
        <f t="shared" si="4"/>
        <v>0</v>
      </c>
      <c r="L34">
        <f t="shared" si="5"/>
        <v>1</v>
      </c>
      <c r="M34">
        <f t="shared" si="6"/>
        <v>0</v>
      </c>
    </row>
    <row r="35" spans="1:13">
      <c r="B35" t="s">
        <v>1331</v>
      </c>
      <c r="C35">
        <v>6.8</v>
      </c>
      <c r="D35">
        <f t="shared" ref="D35:D36" si="7">D32*2</f>
        <v>0.25</v>
      </c>
      <c r="E35">
        <v>1</v>
      </c>
      <c r="F35">
        <v>0</v>
      </c>
      <c r="G35">
        <v>1</v>
      </c>
      <c r="H35">
        <v>0</v>
      </c>
      <c r="I35">
        <v>1</v>
      </c>
      <c r="J35">
        <f t="shared" si="3"/>
        <v>0</v>
      </c>
      <c r="K35">
        <f t="shared" si="4"/>
        <v>0</v>
      </c>
      <c r="L35">
        <f t="shared" si="5"/>
        <v>0</v>
      </c>
      <c r="M35">
        <f t="shared" si="6"/>
        <v>1</v>
      </c>
    </row>
    <row r="36" spans="1:13">
      <c r="B36" t="s">
        <v>1334</v>
      </c>
      <c r="C36">
        <v>9.6</v>
      </c>
      <c r="D36">
        <f t="shared" si="7"/>
        <v>0.125</v>
      </c>
      <c r="E36">
        <v>1</v>
      </c>
      <c r="F36">
        <v>0</v>
      </c>
      <c r="G36">
        <v>1</v>
      </c>
      <c r="H36">
        <v>-1</v>
      </c>
      <c r="I36">
        <v>0</v>
      </c>
      <c r="J36">
        <f t="shared" si="3"/>
        <v>0</v>
      </c>
      <c r="K36">
        <f t="shared" si="4"/>
        <v>0</v>
      </c>
      <c r="L36">
        <f t="shared" si="5"/>
        <v>-1</v>
      </c>
      <c r="M36">
        <f t="shared" si="6"/>
        <v>0</v>
      </c>
    </row>
    <row r="37" spans="1:13">
      <c r="B37" t="s">
        <v>1335</v>
      </c>
      <c r="C37">
        <v>3.5</v>
      </c>
      <c r="D37">
        <f>D31</f>
        <v>6.25E-2</v>
      </c>
      <c r="E37">
        <v>1</v>
      </c>
      <c r="F37">
        <v>-1</v>
      </c>
      <c r="G37">
        <v>0</v>
      </c>
      <c r="H37">
        <v>1</v>
      </c>
      <c r="I37">
        <v>0</v>
      </c>
      <c r="J37">
        <f t="shared" si="3"/>
        <v>-1</v>
      </c>
      <c r="K37">
        <f t="shared" si="4"/>
        <v>0</v>
      </c>
      <c r="L37">
        <f t="shared" si="5"/>
        <v>0</v>
      </c>
      <c r="M37">
        <f t="shared" si="6"/>
        <v>0</v>
      </c>
    </row>
    <row r="38" spans="1:13">
      <c r="B38" t="s">
        <v>1336</v>
      </c>
      <c r="C38">
        <v>8.1</v>
      </c>
      <c r="D38">
        <f t="shared" ref="D38:D39" si="8">D32</f>
        <v>0.125</v>
      </c>
      <c r="E38">
        <v>1</v>
      </c>
      <c r="F38">
        <v>-1</v>
      </c>
      <c r="G38">
        <v>0</v>
      </c>
      <c r="H38">
        <v>0</v>
      </c>
      <c r="I38">
        <v>1</v>
      </c>
      <c r="J38">
        <f t="shared" si="3"/>
        <v>0</v>
      </c>
      <c r="K38">
        <f t="shared" si="4"/>
        <v>-1</v>
      </c>
      <c r="L38">
        <f t="shared" si="5"/>
        <v>0</v>
      </c>
      <c r="M38">
        <f t="shared" si="6"/>
        <v>0</v>
      </c>
    </row>
    <row r="39" spans="1:13">
      <c r="B39" t="s">
        <v>1337</v>
      </c>
      <c r="C39">
        <v>9.3000000000000007</v>
      </c>
      <c r="D39">
        <f t="shared" si="8"/>
        <v>6.25E-2</v>
      </c>
      <c r="E39">
        <v>1</v>
      </c>
      <c r="F39">
        <v>-1</v>
      </c>
      <c r="G39">
        <v>0</v>
      </c>
      <c r="H39">
        <v>-1</v>
      </c>
      <c r="I39">
        <v>0</v>
      </c>
      <c r="J39">
        <f t="shared" si="3"/>
        <v>1</v>
      </c>
      <c r="K39">
        <f t="shared" si="4"/>
        <v>0</v>
      </c>
      <c r="L39">
        <f t="shared" si="5"/>
        <v>0</v>
      </c>
      <c r="M39">
        <f t="shared" si="6"/>
        <v>0</v>
      </c>
    </row>
    <row r="40" spans="1:13">
      <c r="B40" t="s">
        <v>1338</v>
      </c>
      <c r="C40">
        <f>SUMPRODUCT(D31:D39,C31:C39)</f>
        <v>6.75</v>
      </c>
    </row>
    <row r="41" spans="1:13">
      <c r="B41" t="s">
        <v>471</v>
      </c>
      <c r="C41">
        <f>SUMPRODUCT(D31:D39,(C31:C39)^2)-C40^2</f>
        <v>7.0725000000000051</v>
      </c>
    </row>
    <row r="42" spans="1:13">
      <c r="B42" t="s">
        <v>1915</v>
      </c>
      <c r="C42" t="s">
        <v>1914</v>
      </c>
    </row>
    <row r="43" spans="1:13">
      <c r="B43" t="s">
        <v>1339</v>
      </c>
      <c r="C43">
        <f t="array" ref="C43:C51">MMULT(E43:M51,C31:C39)</f>
        <v>4.0999999999999996</v>
      </c>
      <c r="E43">
        <f t="array" ref="E43:M51">MINVERSE(E31:M39)</f>
        <v>0.25</v>
      </c>
      <c r="F43">
        <v>0</v>
      </c>
      <c r="G43">
        <v>0.25</v>
      </c>
      <c r="H43">
        <v>0</v>
      </c>
      <c r="I43">
        <v>0</v>
      </c>
      <c r="J43">
        <v>0</v>
      </c>
      <c r="K43">
        <v>0.25</v>
      </c>
      <c r="L43">
        <v>0</v>
      </c>
      <c r="M43">
        <v>0.25</v>
      </c>
    </row>
    <row r="44" spans="1:13">
      <c r="B44" t="s">
        <v>1340</v>
      </c>
      <c r="C44">
        <v>-2.3000000000000003</v>
      </c>
      <c r="E44">
        <v>0.25</v>
      </c>
      <c r="F44">
        <v>0</v>
      </c>
      <c r="G44">
        <v>0.25</v>
      </c>
      <c r="H44">
        <v>0</v>
      </c>
      <c r="I44">
        <v>0</v>
      </c>
      <c r="J44">
        <v>0</v>
      </c>
      <c r="K44">
        <v>-0.25</v>
      </c>
      <c r="L44">
        <v>0</v>
      </c>
      <c r="M44">
        <v>-0.25</v>
      </c>
    </row>
    <row r="45" spans="1:13">
      <c r="B45" t="s">
        <v>1341</v>
      </c>
      <c r="C45">
        <v>3.05</v>
      </c>
      <c r="E45">
        <v>-0.25</v>
      </c>
      <c r="F45">
        <v>0</v>
      </c>
      <c r="G45">
        <v>-0.25</v>
      </c>
      <c r="H45">
        <v>0.5</v>
      </c>
      <c r="I45">
        <v>0</v>
      </c>
      <c r="J45">
        <v>0.5</v>
      </c>
      <c r="K45">
        <v>-0.25</v>
      </c>
      <c r="L45">
        <v>0</v>
      </c>
      <c r="M45">
        <v>-0.25</v>
      </c>
    </row>
    <row r="46" spans="1:13">
      <c r="B46" t="s">
        <v>1342</v>
      </c>
      <c r="C46">
        <v>-1.3000000000000003</v>
      </c>
      <c r="E46">
        <v>0.25</v>
      </c>
      <c r="F46">
        <v>0</v>
      </c>
      <c r="G46">
        <v>-0.25</v>
      </c>
      <c r="H46">
        <v>0</v>
      </c>
      <c r="I46">
        <v>0</v>
      </c>
      <c r="J46">
        <v>0</v>
      </c>
      <c r="K46">
        <v>0.25</v>
      </c>
      <c r="L46">
        <v>0</v>
      </c>
      <c r="M46">
        <v>-0.25</v>
      </c>
    </row>
    <row r="47" spans="1:13">
      <c r="B47" t="s">
        <v>1343</v>
      </c>
      <c r="C47">
        <v>4.8499999999999996</v>
      </c>
      <c r="E47">
        <v>-0.25</v>
      </c>
      <c r="F47">
        <v>0.5</v>
      </c>
      <c r="G47">
        <v>-0.25</v>
      </c>
      <c r="H47">
        <v>0</v>
      </c>
      <c r="I47">
        <v>0</v>
      </c>
      <c r="J47">
        <v>0</v>
      </c>
      <c r="K47">
        <v>-0.25</v>
      </c>
      <c r="L47">
        <v>0.5</v>
      </c>
      <c r="M47">
        <v>-0.25</v>
      </c>
    </row>
    <row r="48" spans="1:13">
      <c r="A48" t="s">
        <v>1913</v>
      </c>
      <c r="B48" t="s">
        <v>493</v>
      </c>
      <c r="C48">
        <v>1.6</v>
      </c>
      <c r="E48">
        <v>0.25</v>
      </c>
      <c r="F48">
        <v>0</v>
      </c>
      <c r="G48">
        <v>-0.25</v>
      </c>
      <c r="H48">
        <v>0</v>
      </c>
      <c r="I48">
        <v>0</v>
      </c>
      <c r="J48">
        <v>0</v>
      </c>
      <c r="K48">
        <v>-0.25</v>
      </c>
      <c r="L48">
        <v>0</v>
      </c>
      <c r="M48">
        <v>0.25</v>
      </c>
    </row>
    <row r="49" spans="2:13">
      <c r="B49" t="s">
        <v>1344</v>
      </c>
      <c r="C49">
        <v>3.1500000000000004</v>
      </c>
      <c r="E49">
        <v>-0.25</v>
      </c>
      <c r="F49">
        <v>0.5</v>
      </c>
      <c r="G49">
        <v>-0.25</v>
      </c>
      <c r="H49">
        <v>0</v>
      </c>
      <c r="I49">
        <v>0</v>
      </c>
      <c r="J49">
        <v>0</v>
      </c>
      <c r="K49">
        <v>0.25</v>
      </c>
      <c r="L49">
        <v>-0.5</v>
      </c>
      <c r="M49">
        <v>0.25</v>
      </c>
    </row>
    <row r="50" spans="2:13">
      <c r="B50" t="s">
        <v>1345</v>
      </c>
      <c r="C50">
        <v>-1.1499999999999995</v>
      </c>
      <c r="E50">
        <v>-0.25</v>
      </c>
      <c r="F50">
        <v>0</v>
      </c>
      <c r="G50">
        <v>0.25</v>
      </c>
      <c r="H50">
        <v>0.5</v>
      </c>
      <c r="I50">
        <v>0</v>
      </c>
      <c r="J50">
        <v>-0.5</v>
      </c>
      <c r="K50">
        <v>-0.25</v>
      </c>
      <c r="L50">
        <v>0</v>
      </c>
      <c r="M50">
        <v>0.25</v>
      </c>
    </row>
    <row r="51" spans="2:13">
      <c r="B51" t="s">
        <v>1346</v>
      </c>
      <c r="C51">
        <v>-5.1999999999999993</v>
      </c>
      <c r="E51">
        <v>0.25</v>
      </c>
      <c r="F51">
        <v>-0.5</v>
      </c>
      <c r="G51">
        <v>0.25</v>
      </c>
      <c r="H51">
        <v>-0.5</v>
      </c>
      <c r="I51">
        <v>1</v>
      </c>
      <c r="J51">
        <v>-0.5</v>
      </c>
      <c r="K51">
        <v>0.25</v>
      </c>
      <c r="L51">
        <v>-0.5</v>
      </c>
      <c r="M51">
        <v>0.25</v>
      </c>
    </row>
    <row r="53" spans="2:13">
      <c r="B53" t="s">
        <v>1918</v>
      </c>
      <c r="D53" t="s">
        <v>1921</v>
      </c>
    </row>
    <row r="54" spans="2:13">
      <c r="B54" t="s">
        <v>1919</v>
      </c>
      <c r="C54" t="s">
        <v>1920</v>
      </c>
      <c r="D54" t="s">
        <v>1919</v>
      </c>
      <c r="E54" t="s">
        <v>1920</v>
      </c>
      <c r="F54" t="s">
        <v>1306</v>
      </c>
      <c r="G54" t="s">
        <v>1916</v>
      </c>
      <c r="H54" s="11" t="s">
        <v>1348</v>
      </c>
      <c r="I54" t="s">
        <v>1349</v>
      </c>
    </row>
    <row r="55" spans="2:13">
      <c r="B55" t="s">
        <v>1350</v>
      </c>
      <c r="C55" t="s">
        <v>1350</v>
      </c>
      <c r="D55">
        <f>C31</f>
        <v>2.1</v>
      </c>
      <c r="E55">
        <f>C31</f>
        <v>2.1</v>
      </c>
      <c r="F55">
        <f>AVERAGE(D55:E55)</f>
        <v>2.1</v>
      </c>
      <c r="G55">
        <f>C31</f>
        <v>2.1</v>
      </c>
      <c r="H55">
        <f>G55-F55</f>
        <v>0</v>
      </c>
      <c r="I55">
        <f>G55-MAX(D55,E55)</f>
        <v>0</v>
      </c>
    </row>
    <row r="56" spans="2:13">
      <c r="B56" t="s">
        <v>291</v>
      </c>
      <c r="C56" t="s">
        <v>1351</v>
      </c>
      <c r="D56">
        <f>D55</f>
        <v>2.1</v>
      </c>
      <c r="E56">
        <f>C33</f>
        <v>1.5</v>
      </c>
      <c r="F56">
        <f t="shared" ref="F56:F70" si="9">AVERAGE(D56:E56)</f>
        <v>1.8</v>
      </c>
      <c r="G56">
        <f>C32</f>
        <v>9.8000000000000007</v>
      </c>
      <c r="H56">
        <f t="shared" ref="H56:H70" si="10">G56-F56</f>
        <v>8</v>
      </c>
      <c r="I56">
        <f t="shared" ref="I56:I70" si="11">G56-MAX(D56,E56)</f>
        <v>7.7000000000000011</v>
      </c>
    </row>
    <row r="57" spans="2:13">
      <c r="B57" t="s">
        <v>291</v>
      </c>
      <c r="C57" t="s">
        <v>297</v>
      </c>
      <c r="D57">
        <f t="shared" ref="D57:D58" si="12">D56</f>
        <v>2.1</v>
      </c>
      <c r="E57">
        <f>C37</f>
        <v>3.5</v>
      </c>
      <c r="F57">
        <f t="shared" si="9"/>
        <v>2.8</v>
      </c>
      <c r="G57">
        <f>C34</f>
        <v>4.7</v>
      </c>
      <c r="H57">
        <f t="shared" si="10"/>
        <v>1.9000000000000004</v>
      </c>
      <c r="I57">
        <f t="shared" si="11"/>
        <v>1.2000000000000002</v>
      </c>
    </row>
    <row r="58" spans="2:13">
      <c r="B58" t="s">
        <v>291</v>
      </c>
      <c r="C58" t="s">
        <v>317</v>
      </c>
      <c r="D58">
        <f t="shared" si="12"/>
        <v>2.1</v>
      </c>
      <c r="E58">
        <f>C39</f>
        <v>9.3000000000000007</v>
      </c>
      <c r="F58">
        <f t="shared" si="9"/>
        <v>5.7</v>
      </c>
      <c r="G58">
        <f>C35</f>
        <v>6.8</v>
      </c>
      <c r="H58">
        <f t="shared" si="10"/>
        <v>1.0999999999999996</v>
      </c>
      <c r="I58">
        <f t="shared" si="11"/>
        <v>-2.5000000000000009</v>
      </c>
    </row>
    <row r="59" spans="2:13">
      <c r="B59" t="s">
        <v>293</v>
      </c>
      <c r="C59" t="s">
        <v>291</v>
      </c>
      <c r="D59">
        <f>C33</f>
        <v>1.5</v>
      </c>
      <c r="E59">
        <f>E55</f>
        <v>2.1</v>
      </c>
      <c r="F59">
        <f t="shared" si="9"/>
        <v>1.8</v>
      </c>
      <c r="G59">
        <f>C32</f>
        <v>9.8000000000000007</v>
      </c>
      <c r="H59">
        <f t="shared" si="10"/>
        <v>8</v>
      </c>
      <c r="I59">
        <f t="shared" si="11"/>
        <v>7.7000000000000011</v>
      </c>
    </row>
    <row r="60" spans="2:13">
      <c r="B60" t="s">
        <v>293</v>
      </c>
      <c r="C60" t="s">
        <v>293</v>
      </c>
      <c r="D60">
        <f>D59</f>
        <v>1.5</v>
      </c>
      <c r="E60">
        <f t="shared" ref="E60:E70" si="13">E56</f>
        <v>1.5</v>
      </c>
      <c r="F60">
        <f t="shared" si="9"/>
        <v>1.5</v>
      </c>
      <c r="G60">
        <f>C33</f>
        <v>1.5</v>
      </c>
      <c r="H60">
        <f t="shared" si="10"/>
        <v>0</v>
      </c>
      <c r="I60">
        <f t="shared" si="11"/>
        <v>0</v>
      </c>
    </row>
    <row r="61" spans="2:13">
      <c r="B61" t="s">
        <v>293</v>
      </c>
      <c r="C61" t="s">
        <v>297</v>
      </c>
      <c r="D61">
        <f t="shared" ref="D61:D62" si="14">D60</f>
        <v>1.5</v>
      </c>
      <c r="E61">
        <f t="shared" si="13"/>
        <v>3.5</v>
      </c>
      <c r="F61">
        <f t="shared" si="9"/>
        <v>2.5</v>
      </c>
      <c r="G61">
        <f>C35</f>
        <v>6.8</v>
      </c>
      <c r="H61">
        <f t="shared" si="10"/>
        <v>4.3</v>
      </c>
      <c r="I61">
        <f t="shared" si="11"/>
        <v>3.3</v>
      </c>
    </row>
    <row r="62" spans="2:13">
      <c r="B62" t="s">
        <v>293</v>
      </c>
      <c r="C62" t="s">
        <v>317</v>
      </c>
      <c r="D62">
        <f t="shared" si="14"/>
        <v>1.5</v>
      </c>
      <c r="E62">
        <f t="shared" si="13"/>
        <v>9.3000000000000007</v>
      </c>
      <c r="F62">
        <f t="shared" si="9"/>
        <v>5.4</v>
      </c>
      <c r="G62">
        <f>C36</f>
        <v>9.6</v>
      </c>
      <c r="H62">
        <f t="shared" si="10"/>
        <v>4.1999999999999993</v>
      </c>
      <c r="I62">
        <f t="shared" si="11"/>
        <v>0.29999999999999893</v>
      </c>
    </row>
    <row r="63" spans="2:13">
      <c r="B63" t="s">
        <v>297</v>
      </c>
      <c r="C63" t="s">
        <v>291</v>
      </c>
      <c r="D63">
        <f>C37</f>
        <v>3.5</v>
      </c>
      <c r="E63">
        <f t="shared" si="13"/>
        <v>2.1</v>
      </c>
      <c r="F63">
        <f t="shared" si="9"/>
        <v>2.8</v>
      </c>
      <c r="G63">
        <f>C34</f>
        <v>4.7</v>
      </c>
      <c r="H63">
        <f t="shared" si="10"/>
        <v>1.9000000000000004</v>
      </c>
      <c r="I63">
        <f t="shared" si="11"/>
        <v>1.2000000000000002</v>
      </c>
    </row>
    <row r="64" spans="2:13">
      <c r="B64" t="s">
        <v>297</v>
      </c>
      <c r="C64" t="s">
        <v>293</v>
      </c>
      <c r="D64">
        <f>D63</f>
        <v>3.5</v>
      </c>
      <c r="E64">
        <f t="shared" si="13"/>
        <v>1.5</v>
      </c>
      <c r="F64">
        <f t="shared" si="9"/>
        <v>2.5</v>
      </c>
      <c r="G64">
        <f>C35</f>
        <v>6.8</v>
      </c>
      <c r="H64">
        <f t="shared" si="10"/>
        <v>4.3</v>
      </c>
      <c r="I64">
        <f t="shared" si="11"/>
        <v>3.3</v>
      </c>
    </row>
    <row r="65" spans="1:9">
      <c r="B65" t="s">
        <v>297</v>
      </c>
      <c r="C65" t="s">
        <v>1352</v>
      </c>
      <c r="D65">
        <f t="shared" ref="D65:D66" si="15">D64</f>
        <v>3.5</v>
      </c>
      <c r="E65">
        <f t="shared" si="13"/>
        <v>3.5</v>
      </c>
      <c r="F65">
        <f t="shared" si="9"/>
        <v>3.5</v>
      </c>
      <c r="G65">
        <f>C37</f>
        <v>3.5</v>
      </c>
      <c r="H65">
        <f t="shared" si="10"/>
        <v>0</v>
      </c>
      <c r="I65">
        <f t="shared" si="11"/>
        <v>0</v>
      </c>
    </row>
    <row r="66" spans="1:9">
      <c r="B66" t="s">
        <v>297</v>
      </c>
      <c r="C66" t="s">
        <v>317</v>
      </c>
      <c r="D66">
        <f t="shared" si="15"/>
        <v>3.5</v>
      </c>
      <c r="E66">
        <f t="shared" si="13"/>
        <v>9.3000000000000007</v>
      </c>
      <c r="F66">
        <f t="shared" si="9"/>
        <v>6.4</v>
      </c>
      <c r="G66">
        <f>C38</f>
        <v>8.1</v>
      </c>
      <c r="H66">
        <f t="shared" si="10"/>
        <v>1.6999999999999993</v>
      </c>
      <c r="I66">
        <f t="shared" si="11"/>
        <v>-1.2000000000000011</v>
      </c>
    </row>
    <row r="67" spans="1:9">
      <c r="B67" t="s">
        <v>317</v>
      </c>
      <c r="C67" t="s">
        <v>291</v>
      </c>
      <c r="D67">
        <f>C39</f>
        <v>9.3000000000000007</v>
      </c>
      <c r="E67">
        <f t="shared" si="13"/>
        <v>2.1</v>
      </c>
      <c r="F67">
        <f t="shared" si="9"/>
        <v>5.7</v>
      </c>
      <c r="G67">
        <f>C35</f>
        <v>6.8</v>
      </c>
      <c r="H67">
        <f t="shared" si="10"/>
        <v>1.0999999999999996</v>
      </c>
      <c r="I67">
        <f t="shared" si="11"/>
        <v>-2.5000000000000009</v>
      </c>
    </row>
    <row r="68" spans="1:9">
      <c r="B68" t="s">
        <v>299</v>
      </c>
      <c r="C68" t="s">
        <v>293</v>
      </c>
      <c r="D68">
        <f>D67</f>
        <v>9.3000000000000007</v>
      </c>
      <c r="E68">
        <f t="shared" si="13"/>
        <v>1.5</v>
      </c>
      <c r="F68">
        <f t="shared" si="9"/>
        <v>5.4</v>
      </c>
      <c r="G68">
        <f>C36</f>
        <v>9.6</v>
      </c>
      <c r="H68">
        <f t="shared" si="10"/>
        <v>4.1999999999999993</v>
      </c>
      <c r="I68">
        <f t="shared" si="11"/>
        <v>0.29999999999999893</v>
      </c>
    </row>
    <row r="69" spans="1:9">
      <c r="B69" t="s">
        <v>299</v>
      </c>
      <c r="C69" t="s">
        <v>297</v>
      </c>
      <c r="D69">
        <f t="shared" ref="D69:D70" si="16">D68</f>
        <v>9.3000000000000007</v>
      </c>
      <c r="E69">
        <f t="shared" si="13"/>
        <v>3.5</v>
      </c>
      <c r="F69">
        <f t="shared" si="9"/>
        <v>6.4</v>
      </c>
      <c r="G69">
        <f>C38</f>
        <v>8.1</v>
      </c>
      <c r="H69">
        <f t="shared" si="10"/>
        <v>1.6999999999999993</v>
      </c>
      <c r="I69">
        <f t="shared" si="11"/>
        <v>-1.2000000000000011</v>
      </c>
    </row>
    <row r="70" spans="1:9">
      <c r="B70" t="s">
        <v>299</v>
      </c>
      <c r="C70" t="s">
        <v>317</v>
      </c>
      <c r="D70">
        <f t="shared" si="16"/>
        <v>9.3000000000000007</v>
      </c>
      <c r="E70">
        <f t="shared" si="13"/>
        <v>9.3000000000000007</v>
      </c>
      <c r="F70">
        <f t="shared" si="9"/>
        <v>9.3000000000000007</v>
      </c>
      <c r="G70">
        <f>C39</f>
        <v>9.3000000000000007</v>
      </c>
      <c r="H70">
        <f t="shared" si="10"/>
        <v>0</v>
      </c>
      <c r="I70">
        <f t="shared" si="11"/>
        <v>0</v>
      </c>
    </row>
    <row r="71" spans="1:9">
      <c r="B71" t="s">
        <v>551</v>
      </c>
      <c r="D71">
        <f>AVERAGE(D55:D70)</f>
        <v>4.0999999999999996</v>
      </c>
      <c r="E71">
        <f t="shared" ref="E71:F71" si="17">AVERAGE(E55:E70)</f>
        <v>4.1000000000000005</v>
      </c>
      <c r="F71">
        <f t="shared" si="17"/>
        <v>4.1000000000000005</v>
      </c>
      <c r="G71">
        <f>AVERAGE(G55:G70)</f>
        <v>6.7499999999999982</v>
      </c>
      <c r="H71">
        <f>AVERAGE(H55:H70)</f>
        <v>2.6499999999999995</v>
      </c>
      <c r="I71">
        <f>AVERAGE(I55:I70)</f>
        <v>1.0999999999999996</v>
      </c>
    </row>
    <row r="72" spans="1:9">
      <c r="B72" t="s">
        <v>552</v>
      </c>
      <c r="D72">
        <f t="shared" ref="D72:F72" si="18">_xlfn.VAR.P(D55:D70)</f>
        <v>9.5400000000000027</v>
      </c>
      <c r="E72">
        <f t="shared" si="18"/>
        <v>9.5399999999999991</v>
      </c>
      <c r="F72">
        <f t="shared" si="18"/>
        <v>4.769999999999996</v>
      </c>
      <c r="G72">
        <f>_xlfn.VAR.P(G55:G70)</f>
        <v>7.0725000000000264</v>
      </c>
      <c r="H72">
        <f>_xlfn.VAR.P(H55:H70)</f>
        <v>6.4575000000000014</v>
      </c>
      <c r="I72">
        <f>_xlfn.VAR.P(I55:I70)</f>
        <v>8.7150000000000016</v>
      </c>
    </row>
    <row r="74" spans="1:9">
      <c r="C74" t="s">
        <v>672</v>
      </c>
      <c r="D74" t="s">
        <v>1919</v>
      </c>
      <c r="E74" t="s">
        <v>1920</v>
      </c>
      <c r="F74" t="s">
        <v>1306</v>
      </c>
      <c r="G74" t="s">
        <v>1916</v>
      </c>
      <c r="H74" t="s">
        <v>1348</v>
      </c>
      <c r="I74" t="s">
        <v>1349</v>
      </c>
    </row>
    <row r="75" spans="1:9">
      <c r="C75" t="s">
        <v>1919</v>
      </c>
      <c r="D75" s="13">
        <f>CORREL(D55:D70,D55:D70)</f>
        <v>0.99999999999999978</v>
      </c>
      <c r="E75" s="13">
        <f>CORREL(D55:D70,E55:E70)</f>
        <v>0</v>
      </c>
      <c r="F75" s="13">
        <f>CORREL(D55:D70,F55:F70)</f>
        <v>0.70710678118654757</v>
      </c>
      <c r="G75" s="13">
        <f>CORREL(D55:D70,G55:G70)</f>
        <v>0.32778950659958717</v>
      </c>
      <c r="H75" s="13">
        <f>CORREL(D55:D70,H55:H70)</f>
        <v>-0.26468823481565906</v>
      </c>
      <c r="I75" s="13">
        <f>CORREL(D55:D70,I55:I70)</f>
        <v>-0.42387872094352003</v>
      </c>
    </row>
    <row r="76" spans="1:9">
      <c r="C76" t="s">
        <v>1920</v>
      </c>
      <c r="E76" s="13">
        <f>CORREL(E55:E70,E55:E70)</f>
        <v>1</v>
      </c>
      <c r="F76" s="13">
        <f>CORREL(E55:E70,F55:F70)</f>
        <v>0.70710678118654746</v>
      </c>
      <c r="G76" s="13">
        <f>CORREL(E55:E70,G55:G70)</f>
        <v>0.32778950659958722</v>
      </c>
      <c r="H76" s="13">
        <f>CORREL(E55:E70,H55:H70)</f>
        <v>-0.26468823481565906</v>
      </c>
      <c r="I76" s="13">
        <f>CORREL(E55:E70,I55:I70)</f>
        <v>-0.42387872094351992</v>
      </c>
    </row>
    <row r="77" spans="1:9">
      <c r="C77" t="s">
        <v>1347</v>
      </c>
      <c r="E77" s="13"/>
      <c r="F77" s="13">
        <f>CORREL(F55:F70,F55:F70)</f>
        <v>1</v>
      </c>
      <c r="G77" s="13">
        <f>CORREL(F55:F70,G55:G70)</f>
        <v>0.46356436583672134</v>
      </c>
      <c r="H77" s="13">
        <f>CORREL(F55:F70,H55:H70)</f>
        <v>-0.37432569147689948</v>
      </c>
      <c r="I77" s="13">
        <f>CORREL(F55:F70,I55:I70)</f>
        <v>-0.59945503595968652</v>
      </c>
    </row>
    <row r="78" spans="1:9">
      <c r="C78" t="s">
        <v>1916</v>
      </c>
      <c r="E78" s="13"/>
      <c r="F78" s="13"/>
      <c r="G78" s="13">
        <f>CORREL(G55:G70,G55:G70)</f>
        <v>1</v>
      </c>
      <c r="H78" s="13">
        <f>CORREL(G55:G70,H55:H70)</f>
        <v>0.64812000251922308</v>
      </c>
      <c r="I78" s="13">
        <f>CORREL(G55:G70,I55:I70)</f>
        <v>0.32321080964365073</v>
      </c>
    </row>
    <row r="79" spans="1:9">
      <c r="A79" t="s">
        <v>1917</v>
      </c>
      <c r="C79" t="s">
        <v>1348</v>
      </c>
      <c r="E79" s="13"/>
      <c r="F79" s="13"/>
      <c r="G79" s="13"/>
      <c r="H79" s="13">
        <f>CORREL(H55:H70,H55:H70)</f>
        <v>1.0000000000000002</v>
      </c>
      <c r="I79" s="13">
        <f>CORREL(H55:H70,I55:I70)</f>
        <v>0.85346100734286001</v>
      </c>
    </row>
    <row r="80" spans="1:9">
      <c r="C80" t="s">
        <v>1349</v>
      </c>
      <c r="I80" s="13">
        <f>CORREL(I55:I70,I55:I70)</f>
        <v>1</v>
      </c>
    </row>
    <row r="82" spans="1:14">
      <c r="A82" s="11" t="s">
        <v>1353</v>
      </c>
      <c r="D82" t="s">
        <v>1941</v>
      </c>
      <c r="E82" t="s">
        <v>1941</v>
      </c>
      <c r="F82" t="s">
        <v>1941</v>
      </c>
      <c r="G82" t="s">
        <v>1942</v>
      </c>
      <c r="H82" t="s">
        <v>1942</v>
      </c>
      <c r="I82" t="s">
        <v>1942</v>
      </c>
      <c r="J82" t="s">
        <v>1944</v>
      </c>
      <c r="K82" t="s">
        <v>1944</v>
      </c>
      <c r="L82" t="s">
        <v>1944</v>
      </c>
    </row>
    <row r="83" spans="1:14">
      <c r="C83" t="s">
        <v>1943</v>
      </c>
      <c r="D83" t="s">
        <v>291</v>
      </c>
      <c r="E83" t="s">
        <v>292</v>
      </c>
      <c r="F83" t="s">
        <v>293</v>
      </c>
      <c r="G83" t="s">
        <v>294</v>
      </c>
      <c r="H83" t="s">
        <v>295</v>
      </c>
      <c r="I83" t="s">
        <v>296</v>
      </c>
      <c r="J83" t="s">
        <v>297</v>
      </c>
      <c r="K83" t="s">
        <v>298</v>
      </c>
      <c r="L83" t="s">
        <v>299</v>
      </c>
    </row>
    <row r="84" spans="1:14">
      <c r="C84" t="s">
        <v>1940</v>
      </c>
      <c r="D84">
        <f>C31</f>
        <v>2.1</v>
      </c>
      <c r="E84">
        <f>C32</f>
        <v>9.8000000000000007</v>
      </c>
      <c r="F84">
        <f>C33</f>
        <v>1.5</v>
      </c>
      <c r="G84">
        <f>C34</f>
        <v>4.7</v>
      </c>
      <c r="H84">
        <f>C35</f>
        <v>6.8</v>
      </c>
      <c r="I84">
        <f>C36</f>
        <v>9.6</v>
      </c>
      <c r="J84">
        <f>C37</f>
        <v>3.5</v>
      </c>
      <c r="K84">
        <f>C38</f>
        <v>8.1</v>
      </c>
      <c r="L84">
        <f>C39</f>
        <v>9.3000000000000007</v>
      </c>
    </row>
    <row r="85" spans="1:14">
      <c r="D85" t="s">
        <v>1928</v>
      </c>
    </row>
    <row r="86" spans="1:14">
      <c r="D86">
        <f>D84</f>
        <v>2.1</v>
      </c>
      <c r="E86">
        <f>F84</f>
        <v>1.5</v>
      </c>
      <c r="F86">
        <f>J84</f>
        <v>3.5</v>
      </c>
      <c r="G86">
        <f>L84</f>
        <v>9.3000000000000007</v>
      </c>
    </row>
    <row r="87" spans="1:14">
      <c r="C87" t="s">
        <v>1929</v>
      </c>
      <c r="D87" t="s">
        <v>291</v>
      </c>
      <c r="E87" t="s">
        <v>293</v>
      </c>
      <c r="F87" t="s">
        <v>297</v>
      </c>
      <c r="G87" t="s">
        <v>299</v>
      </c>
      <c r="H87" t="s">
        <v>1930</v>
      </c>
      <c r="I87" t="s">
        <v>1934</v>
      </c>
      <c r="J87" t="s">
        <v>1935</v>
      </c>
      <c r="K87" t="s">
        <v>1936</v>
      </c>
      <c r="L87" t="s">
        <v>1937</v>
      </c>
      <c r="M87" t="s">
        <v>1938</v>
      </c>
      <c r="N87" t="s">
        <v>1945</v>
      </c>
    </row>
    <row r="88" spans="1:14">
      <c r="A88" t="s">
        <v>1939</v>
      </c>
      <c r="C88" t="s">
        <v>291</v>
      </c>
      <c r="D88">
        <f>D84</f>
        <v>2.1</v>
      </c>
      <c r="E88">
        <f>E84</f>
        <v>9.8000000000000007</v>
      </c>
      <c r="F88">
        <f>G84</f>
        <v>4.7</v>
      </c>
      <c r="G88">
        <f>H84</f>
        <v>6.8</v>
      </c>
      <c r="H88">
        <f>AVERAGE(D88:G88)</f>
        <v>5.8500000000000005</v>
      </c>
      <c r="I88">
        <f>AVERAGE(D84,E84)</f>
        <v>5.95</v>
      </c>
      <c r="J88">
        <f>AVERAGE(D84,G84)</f>
        <v>3.4000000000000004</v>
      </c>
      <c r="K88">
        <f>AVERAGE(D84,E84,G84,H84)</f>
        <v>5.8500000000000005</v>
      </c>
      <c r="L88">
        <f>AVERAGE(E84,J84)</f>
        <v>6.65</v>
      </c>
      <c r="M88">
        <f>AVERAGE(G84,H84)</f>
        <v>5.75</v>
      </c>
      <c r="N88">
        <f>AVERAGE(I88:M88)</f>
        <v>5.5200000000000005</v>
      </c>
    </row>
    <row r="89" spans="1:14">
      <c r="C89" t="s">
        <v>293</v>
      </c>
      <c r="D89">
        <f>E84</f>
        <v>9.8000000000000007</v>
      </c>
      <c r="E89">
        <f>F84</f>
        <v>1.5</v>
      </c>
      <c r="F89">
        <f>H84</f>
        <v>6.8</v>
      </c>
      <c r="G89">
        <f>I84</f>
        <v>9.6</v>
      </c>
      <c r="H89">
        <f>AVERAGE(D89:G89)</f>
        <v>6.9250000000000007</v>
      </c>
      <c r="I89">
        <f>AVERAGE(E84,F84)</f>
        <v>5.65</v>
      </c>
      <c r="J89">
        <f>AVERAGE(E84,K84)</f>
        <v>8.9499999999999993</v>
      </c>
      <c r="K89">
        <f>AVERAGE(E84,F84,H84,I84)</f>
        <v>6.9250000000000007</v>
      </c>
      <c r="L89">
        <f>AVERAGE(F84,I84)</f>
        <v>5.55</v>
      </c>
      <c r="M89">
        <f>AVERAGE(H84,I84)</f>
        <v>8.1999999999999993</v>
      </c>
      <c r="N89">
        <f>AVERAGE(I89:M89)</f>
        <v>7.0549999999999997</v>
      </c>
    </row>
    <row r="90" spans="1:14">
      <c r="C90" t="s">
        <v>297</v>
      </c>
      <c r="D90">
        <f>G84</f>
        <v>4.7</v>
      </c>
      <c r="E90">
        <f>H84</f>
        <v>6.8</v>
      </c>
      <c r="F90">
        <f>J84</f>
        <v>3.5</v>
      </c>
      <c r="G90">
        <f>K84</f>
        <v>8.1</v>
      </c>
      <c r="H90">
        <f>AVERAGE(D90:G90)</f>
        <v>5.7750000000000004</v>
      </c>
      <c r="I90">
        <f>AVERAGE(G84,H84)</f>
        <v>5.75</v>
      </c>
      <c r="J90">
        <f>AVERAGE(G84,J84)</f>
        <v>4.0999999999999996</v>
      </c>
      <c r="K90">
        <f>AVERAGE(G84,H84,J84,K84)</f>
        <v>5.7750000000000004</v>
      </c>
      <c r="L90">
        <f>AVERAGE(H84,K84)</f>
        <v>7.4499999999999993</v>
      </c>
      <c r="M90">
        <f>AVERAGE(J84,K84)</f>
        <v>5.8</v>
      </c>
      <c r="N90">
        <f>AVERAGE(I90:M90)</f>
        <v>5.7750000000000004</v>
      </c>
    </row>
    <row r="91" spans="1:14">
      <c r="C91" t="s">
        <v>299</v>
      </c>
      <c r="D91">
        <f>H84</f>
        <v>6.8</v>
      </c>
      <c r="E91">
        <f>I84</f>
        <v>9.6</v>
      </c>
      <c r="F91">
        <f>K84</f>
        <v>8.1</v>
      </c>
      <c r="G91">
        <f>L84</f>
        <v>9.3000000000000007</v>
      </c>
      <c r="H91">
        <f>AVERAGE(D91:G91)</f>
        <v>8.4499999999999993</v>
      </c>
      <c r="I91">
        <f>AVERAGE(H84,I84)</f>
        <v>8.1999999999999993</v>
      </c>
      <c r="J91">
        <f>AVERAGE(H84,K84)</f>
        <v>7.4499999999999993</v>
      </c>
      <c r="K91">
        <f>AVERAGE(H84,I84,K84,L84)</f>
        <v>8.4499999999999993</v>
      </c>
      <c r="L91">
        <f>AVERAGE(I84,L84)</f>
        <v>9.4499999999999993</v>
      </c>
      <c r="M91">
        <f>AVERAGE(K84,L84)</f>
        <v>8.6999999999999993</v>
      </c>
      <c r="N91">
        <f>AVERAGE(I91:M91)</f>
        <v>8.4499999999999993</v>
      </c>
    </row>
    <row r="92" spans="1:14">
      <c r="C92" t="s">
        <v>1932</v>
      </c>
      <c r="D92">
        <f>AVERAGE(D88:D91)</f>
        <v>5.8500000000000005</v>
      </c>
      <c r="E92">
        <f t="shared" ref="E92" si="19">AVERAGE(E88:E91)</f>
        <v>6.9250000000000007</v>
      </c>
      <c r="F92">
        <f>AVERAGE(F88:F91)</f>
        <v>5.7750000000000004</v>
      </c>
      <c r="G92">
        <f>AVERAGE(G88:G91)</f>
        <v>8.4499999999999993</v>
      </c>
      <c r="I92">
        <f>AVERAGE(I88:I91)</f>
        <v>6.3875000000000002</v>
      </c>
      <c r="J92">
        <f>AVERAGE(J88:J91)</f>
        <v>5.9749999999999996</v>
      </c>
      <c r="K92">
        <f t="shared" ref="K92:N92" si="20">AVERAGE(K88:K91)</f>
        <v>6.7500000000000009</v>
      </c>
      <c r="L92">
        <f t="shared" si="20"/>
        <v>7.2749999999999995</v>
      </c>
      <c r="M92">
        <f t="shared" si="20"/>
        <v>7.1124999999999998</v>
      </c>
      <c r="N92">
        <f t="shared" si="20"/>
        <v>6.7</v>
      </c>
    </row>
    <row r="93" spans="1:14">
      <c r="C93" t="s">
        <v>1946</v>
      </c>
      <c r="D93" s="13">
        <f>_xlfn.STDEV.P(D88:D91)</f>
        <v>2.8235615806991006</v>
      </c>
      <c r="E93" s="13">
        <f t="shared" ref="E93:N93" si="21">_xlfn.STDEV.P(E88:E91)</f>
        <v>3.349160342533632</v>
      </c>
      <c r="F93" s="13">
        <f t="shared" si="21"/>
        <v>1.7879807045938718</v>
      </c>
      <c r="G93" s="13">
        <f t="shared" si="21"/>
        <v>1.1056672193748038</v>
      </c>
      <c r="H93" s="18"/>
      <c r="I93" s="18">
        <f t="shared" si="21"/>
        <v>1.0520070104329147</v>
      </c>
      <c r="J93" s="18">
        <f t="shared" si="21"/>
        <v>2.3006792475266957</v>
      </c>
      <c r="K93" s="18">
        <f t="shared" si="21"/>
        <v>1.0818098261709377</v>
      </c>
      <c r="L93" s="18">
        <f t="shared" si="21"/>
        <v>1.4254385290148455</v>
      </c>
      <c r="M93" s="18">
        <f t="shared" si="21"/>
        <v>1.3492474754469632</v>
      </c>
      <c r="N93" s="18">
        <f t="shared" si="21"/>
        <v>1.165820526496254</v>
      </c>
    </row>
    <row r="94" spans="1:14">
      <c r="C94" t="s">
        <v>1931</v>
      </c>
      <c r="D94" s="13">
        <f>CORREL(D88:D91,$H$88:$H$91)</f>
        <v>0.55675018922112085</v>
      </c>
      <c r="E94" s="13">
        <f>CORREL(E88:E91,$H$88:$H$91)</f>
        <v>7.8143229798292996E-2</v>
      </c>
      <c r="F94" s="13">
        <f>CORREL(F88:F91,$H$88:$H$91)</f>
        <v>0.94577752671189386</v>
      </c>
      <c r="G94" s="13">
        <f>CORREL(G88:G91,$H$88:$H$91)</f>
        <v>0.7257831935439788</v>
      </c>
      <c r="I94">
        <f t="shared" ref="I94:N94" si="22">CORREL(I88:I91,$H$88:$H$91)</f>
        <v>0.87154012873689912</v>
      </c>
      <c r="J94">
        <f t="shared" si="22"/>
        <v>0.72057509797877373</v>
      </c>
      <c r="K94">
        <f t="shared" si="22"/>
        <v>0.99999999999999978</v>
      </c>
      <c r="L94">
        <f t="shared" si="22"/>
        <v>0.61403515307778944</v>
      </c>
      <c r="M94">
        <f t="shared" si="22"/>
        <v>0.92403606434323571</v>
      </c>
      <c r="N94">
        <f t="shared" si="22"/>
        <v>0.99132085715635787</v>
      </c>
    </row>
    <row r="95" spans="1:14">
      <c r="B95" t="s">
        <v>1933</v>
      </c>
      <c r="C95">
        <v>2.6652</v>
      </c>
      <c r="D95" s="13">
        <f t="shared" ref="D95:D100" si="23">D$92+D$93*$C95</f>
        <v>13.375356324879244</v>
      </c>
      <c r="E95" s="13">
        <f t="shared" ref="E95:G95" si="24">E$92+E$93*$C95</f>
        <v>15.851182144920637</v>
      </c>
      <c r="F95" s="13">
        <f t="shared" si="24"/>
        <v>10.540326173883589</v>
      </c>
      <c r="G95" s="13">
        <f t="shared" si="24"/>
        <v>11.396824273077726</v>
      </c>
      <c r="I95">
        <f t="shared" ref="I95:M100" si="25">I$92+I$93*$C95</f>
        <v>9.1913090842058054</v>
      </c>
      <c r="J95">
        <f t="shared" si="25"/>
        <v>12.106770330508148</v>
      </c>
      <c r="K95">
        <f t="shared" si="25"/>
        <v>9.6332395487107831</v>
      </c>
      <c r="L95">
        <f t="shared" si="25"/>
        <v>11.074078767530366</v>
      </c>
      <c r="M95">
        <f t="shared" si="25"/>
        <v>10.708514371561247</v>
      </c>
    </row>
    <row r="96" spans="1:14">
      <c r="B96" t="s">
        <v>1933</v>
      </c>
      <c r="C96">
        <v>2.0627</v>
      </c>
      <c r="D96" s="13">
        <f t="shared" si="23"/>
        <v>11.674160472508035</v>
      </c>
      <c r="E96" s="13">
        <f t="shared" ref="E96:G100" si="26">E$92+E$93*$C96</f>
        <v>13.833313038544123</v>
      </c>
      <c r="F96" s="13">
        <f t="shared" si="26"/>
        <v>9.4630677993657795</v>
      </c>
      <c r="G96" s="13">
        <f t="shared" si="26"/>
        <v>10.730659773404408</v>
      </c>
      <c r="I96">
        <f t="shared" si="25"/>
        <v>8.5574748604199726</v>
      </c>
      <c r="J96">
        <f t="shared" si="25"/>
        <v>10.720611083873315</v>
      </c>
      <c r="K96">
        <f t="shared" si="25"/>
        <v>8.9814491284427938</v>
      </c>
      <c r="L96">
        <f t="shared" si="25"/>
        <v>10.21525205379892</v>
      </c>
      <c r="M96">
        <f t="shared" si="25"/>
        <v>9.8955927676044517</v>
      </c>
    </row>
    <row r="97" spans="1:19">
      <c r="B97" t="s">
        <v>1933</v>
      </c>
      <c r="C97">
        <v>1.2710999999999999</v>
      </c>
      <c r="D97" s="13">
        <f t="shared" si="23"/>
        <v>9.439029125226627</v>
      </c>
      <c r="E97" s="13">
        <f t="shared" si="26"/>
        <v>11.182117711394501</v>
      </c>
      <c r="F97" s="13">
        <f t="shared" si="26"/>
        <v>8.0477022736092714</v>
      </c>
      <c r="G97" s="13">
        <f t="shared" si="26"/>
        <v>9.855413602547312</v>
      </c>
      <c r="I97">
        <f t="shared" si="25"/>
        <v>7.7247061109612778</v>
      </c>
      <c r="J97">
        <f t="shared" si="25"/>
        <v>8.8993933915311825</v>
      </c>
      <c r="K97">
        <f t="shared" si="25"/>
        <v>8.1250884700458794</v>
      </c>
      <c r="L97">
        <f t="shared" si="25"/>
        <v>9.0868749142307692</v>
      </c>
      <c r="M97">
        <f t="shared" si="25"/>
        <v>8.8275284660406346</v>
      </c>
    </row>
    <row r="98" spans="1:19">
      <c r="B98" t="s">
        <v>1933</v>
      </c>
      <c r="C98">
        <v>1</v>
      </c>
      <c r="D98" s="13">
        <f t="shared" si="23"/>
        <v>8.6735615806991007</v>
      </c>
      <c r="E98" s="13">
        <f t="shared" si="26"/>
        <v>10.274160342533634</v>
      </c>
      <c r="F98" s="13">
        <f t="shared" si="26"/>
        <v>7.5629807045938726</v>
      </c>
      <c r="G98" s="13">
        <f t="shared" si="26"/>
        <v>9.5556672193748025</v>
      </c>
      <c r="I98">
        <f t="shared" si="25"/>
        <v>7.4395070104329148</v>
      </c>
      <c r="J98">
        <f t="shared" si="25"/>
        <v>8.2756792475266963</v>
      </c>
      <c r="K98">
        <f t="shared" si="25"/>
        <v>7.8318098261709386</v>
      </c>
      <c r="L98">
        <f t="shared" si="25"/>
        <v>8.7004385290148445</v>
      </c>
      <c r="M98">
        <f t="shared" si="25"/>
        <v>8.4617474754469626</v>
      </c>
    </row>
    <row r="99" spans="1:19">
      <c r="B99" t="s">
        <v>1933</v>
      </c>
      <c r="C99">
        <v>0.79790000000000005</v>
      </c>
      <c r="D99" s="13">
        <f t="shared" si="23"/>
        <v>8.1029197852398127</v>
      </c>
      <c r="E99" s="13">
        <f t="shared" si="26"/>
        <v>9.5972950373075854</v>
      </c>
      <c r="F99" s="13">
        <f t="shared" si="26"/>
        <v>7.2016298041954503</v>
      </c>
      <c r="G99" s="13">
        <f t="shared" si="26"/>
        <v>9.3322118743391549</v>
      </c>
      <c r="I99">
        <f t="shared" si="25"/>
        <v>7.2268963936244228</v>
      </c>
      <c r="J99">
        <f t="shared" si="25"/>
        <v>7.8107119716015507</v>
      </c>
      <c r="K99">
        <f t="shared" si="25"/>
        <v>7.6131760603017922</v>
      </c>
      <c r="L99">
        <f t="shared" si="25"/>
        <v>8.4123574023009446</v>
      </c>
      <c r="M99">
        <f t="shared" si="25"/>
        <v>8.1890645606591317</v>
      </c>
    </row>
    <row r="100" spans="1:19">
      <c r="B100" t="s">
        <v>1933</v>
      </c>
      <c r="C100">
        <v>0</v>
      </c>
      <c r="D100" s="13">
        <f t="shared" si="23"/>
        <v>5.8500000000000005</v>
      </c>
      <c r="E100" s="13">
        <f t="shared" si="26"/>
        <v>6.9250000000000007</v>
      </c>
      <c r="F100" s="13">
        <f t="shared" si="26"/>
        <v>5.7750000000000004</v>
      </c>
      <c r="G100" s="13">
        <f t="shared" si="26"/>
        <v>8.4499999999999993</v>
      </c>
      <c r="I100">
        <f t="shared" si="25"/>
        <v>6.3875000000000002</v>
      </c>
      <c r="J100">
        <f t="shared" si="25"/>
        <v>5.9749999999999996</v>
      </c>
      <c r="K100">
        <f t="shared" si="25"/>
        <v>6.7500000000000009</v>
      </c>
      <c r="L100">
        <f t="shared" si="25"/>
        <v>7.2749999999999995</v>
      </c>
      <c r="M100">
        <f t="shared" si="25"/>
        <v>7.1124999999999998</v>
      </c>
    </row>
    <row r="102" spans="1:19">
      <c r="A102" s="11" t="s">
        <v>1362</v>
      </c>
      <c r="C102" t="s">
        <v>1354</v>
      </c>
      <c r="J102" t="s">
        <v>1355</v>
      </c>
    </row>
    <row r="103" spans="1:19">
      <c r="B103" t="s">
        <v>1356</v>
      </c>
      <c r="C103" t="s">
        <v>160</v>
      </c>
      <c r="D103" t="s">
        <v>161</v>
      </c>
      <c r="E103" t="s">
        <v>523</v>
      </c>
      <c r="F103" t="s">
        <v>213</v>
      </c>
      <c r="G103" t="s">
        <v>146</v>
      </c>
      <c r="H103" t="s">
        <v>456</v>
      </c>
      <c r="I103" t="s">
        <v>1357</v>
      </c>
      <c r="J103" t="s">
        <v>160</v>
      </c>
      <c r="K103" t="s">
        <v>161</v>
      </c>
      <c r="L103" t="s">
        <v>523</v>
      </c>
      <c r="M103" t="s">
        <v>213</v>
      </c>
      <c r="N103" t="s">
        <v>146</v>
      </c>
      <c r="O103" t="s">
        <v>456</v>
      </c>
      <c r="P103" t="s">
        <v>1357</v>
      </c>
    </row>
    <row r="104" spans="1:19">
      <c r="B104" t="s">
        <v>160</v>
      </c>
      <c r="C104" s="29">
        <v>22.8</v>
      </c>
      <c r="D104" s="29">
        <v>14.4</v>
      </c>
      <c r="E104" s="29">
        <v>27.2</v>
      </c>
      <c r="F104" s="29">
        <v>17.2</v>
      </c>
      <c r="G104" s="29">
        <v>18.3</v>
      </c>
      <c r="H104" s="29">
        <v>16.2</v>
      </c>
      <c r="I104" s="29">
        <v>18.600000000000001</v>
      </c>
      <c r="J104" s="29">
        <v>24.2</v>
      </c>
      <c r="K104" s="29">
        <v>16.2</v>
      </c>
      <c r="L104" s="29">
        <v>30.8</v>
      </c>
      <c r="M104" s="29">
        <v>27</v>
      </c>
      <c r="N104" s="29">
        <v>20.2</v>
      </c>
      <c r="O104" s="29">
        <v>16.8</v>
      </c>
      <c r="P104" s="29">
        <v>14.4</v>
      </c>
    </row>
    <row r="105" spans="1:19">
      <c r="B105" t="s">
        <v>161</v>
      </c>
      <c r="C105" s="29">
        <v>15.4</v>
      </c>
      <c r="D105" s="29">
        <v>17.2</v>
      </c>
      <c r="E105" s="29">
        <v>14.8</v>
      </c>
      <c r="F105" s="29">
        <v>18.600000000000001</v>
      </c>
      <c r="G105" s="29">
        <v>15.2</v>
      </c>
      <c r="H105" s="29">
        <v>17</v>
      </c>
      <c r="I105" s="29">
        <v>14.4</v>
      </c>
      <c r="J105" s="29">
        <v>16.5</v>
      </c>
      <c r="K105" s="29">
        <v>18.8</v>
      </c>
      <c r="L105" s="29">
        <v>14.6</v>
      </c>
      <c r="M105" s="29">
        <v>18.600000000000001</v>
      </c>
      <c r="N105" s="29">
        <v>15.3</v>
      </c>
      <c r="O105" s="29">
        <v>15.2</v>
      </c>
      <c r="P105" s="29">
        <v>14.8</v>
      </c>
    </row>
    <row r="106" spans="1:19">
      <c r="B106" t="s">
        <v>523</v>
      </c>
      <c r="C106" s="29">
        <v>31.8</v>
      </c>
      <c r="D106" s="29">
        <v>21</v>
      </c>
      <c r="E106" s="29">
        <v>24.8</v>
      </c>
      <c r="F106" s="29">
        <v>24.6</v>
      </c>
      <c r="G106" s="29">
        <v>19.2</v>
      </c>
      <c r="H106" s="29">
        <v>29.8</v>
      </c>
      <c r="I106" s="29">
        <v>12.8</v>
      </c>
      <c r="J106" s="29">
        <v>30.4</v>
      </c>
      <c r="K106" s="29">
        <v>23</v>
      </c>
      <c r="L106" s="29">
        <v>21.2</v>
      </c>
      <c r="M106" s="29">
        <v>25.4</v>
      </c>
      <c r="N106" s="29">
        <v>20</v>
      </c>
      <c r="O106" s="29">
        <v>28.4</v>
      </c>
      <c r="P106" s="29">
        <v>14.2</v>
      </c>
    </row>
    <row r="107" spans="1:19">
      <c r="B107" t="s">
        <v>1922</v>
      </c>
      <c r="C107" s="29">
        <v>16.2</v>
      </c>
      <c r="D107" s="29">
        <v>11.4</v>
      </c>
      <c r="E107" s="29">
        <v>16.8</v>
      </c>
      <c r="F107" s="29">
        <v>18.399999999999999</v>
      </c>
      <c r="G107" s="29">
        <v>12.4</v>
      </c>
      <c r="H107" s="29">
        <v>16.8</v>
      </c>
      <c r="I107" s="29">
        <v>12.6</v>
      </c>
      <c r="J107" s="29">
        <v>17.8</v>
      </c>
      <c r="K107" s="29">
        <v>13</v>
      </c>
      <c r="L107" s="29">
        <v>16.3</v>
      </c>
      <c r="M107" s="29">
        <v>18</v>
      </c>
      <c r="N107" s="29">
        <v>14.2</v>
      </c>
      <c r="O107" s="29">
        <v>14.8</v>
      </c>
      <c r="P107" s="29">
        <v>12.2</v>
      </c>
    </row>
    <row r="108" spans="1:19">
      <c r="B108" t="s">
        <v>146</v>
      </c>
      <c r="C108" s="29">
        <v>14.6</v>
      </c>
      <c r="D108" s="29">
        <v>12.2</v>
      </c>
      <c r="E108" s="29">
        <v>15.2</v>
      </c>
      <c r="F108" s="29">
        <v>15.2</v>
      </c>
      <c r="G108" s="29">
        <v>15.2</v>
      </c>
      <c r="H108" s="29">
        <v>18</v>
      </c>
      <c r="I108" s="29">
        <v>10.4</v>
      </c>
      <c r="J108" s="29">
        <v>18.8</v>
      </c>
      <c r="K108" s="29">
        <v>13.6</v>
      </c>
      <c r="L108" s="29">
        <v>15.4</v>
      </c>
      <c r="M108" s="29">
        <v>13.8</v>
      </c>
      <c r="N108" s="29">
        <v>15.2</v>
      </c>
      <c r="O108" s="29">
        <v>16</v>
      </c>
      <c r="P108" s="29">
        <v>12.2</v>
      </c>
    </row>
    <row r="109" spans="1:19">
      <c r="B109" t="s">
        <v>456</v>
      </c>
      <c r="C109" s="29">
        <v>20.2</v>
      </c>
      <c r="D109" s="29">
        <v>14.2</v>
      </c>
      <c r="E109" s="29">
        <v>18.600000000000001</v>
      </c>
      <c r="F109" s="29">
        <v>22.2</v>
      </c>
      <c r="G109" s="29">
        <v>14.3</v>
      </c>
      <c r="H109" s="29">
        <v>20.2</v>
      </c>
      <c r="I109" s="29">
        <v>9</v>
      </c>
      <c r="J109" s="29">
        <v>23.4</v>
      </c>
      <c r="K109" s="29">
        <v>14</v>
      </c>
      <c r="L109" s="29">
        <v>14.8</v>
      </c>
      <c r="M109" s="29">
        <v>17</v>
      </c>
      <c r="N109" s="29">
        <v>17.3</v>
      </c>
      <c r="O109" s="29">
        <v>22.6</v>
      </c>
      <c r="P109" s="29">
        <v>10.199999999999999</v>
      </c>
    </row>
    <row r="110" spans="1:19">
      <c r="B110" t="s">
        <v>1357</v>
      </c>
      <c r="C110" s="29">
        <v>14</v>
      </c>
      <c r="D110" s="29">
        <v>12.2</v>
      </c>
      <c r="E110" s="29">
        <v>13.6</v>
      </c>
      <c r="F110" s="29">
        <v>13.8</v>
      </c>
      <c r="G110" s="29">
        <v>15.6</v>
      </c>
      <c r="H110" s="29">
        <v>15.6</v>
      </c>
      <c r="I110" s="29">
        <v>11.4</v>
      </c>
      <c r="J110" s="29">
        <v>16.600000000000001</v>
      </c>
      <c r="K110" s="29">
        <v>9.1999999999999993</v>
      </c>
      <c r="L110" s="29">
        <v>16.2</v>
      </c>
      <c r="M110" s="29">
        <v>14.4</v>
      </c>
      <c r="N110" s="29">
        <v>15.6</v>
      </c>
      <c r="O110" s="29">
        <v>11</v>
      </c>
      <c r="P110" s="29">
        <v>10.6</v>
      </c>
    </row>
    <row r="111" spans="1:19">
      <c r="B111" t="s">
        <v>1045</v>
      </c>
      <c r="C111" t="s">
        <v>160</v>
      </c>
      <c r="D111" t="s">
        <v>161</v>
      </c>
      <c r="E111" t="s">
        <v>523</v>
      </c>
      <c r="F111" t="s">
        <v>213</v>
      </c>
      <c r="G111" t="s">
        <v>146</v>
      </c>
      <c r="H111" t="s">
        <v>456</v>
      </c>
      <c r="I111" t="s">
        <v>1357</v>
      </c>
      <c r="J111" t="s">
        <v>784</v>
      </c>
      <c r="K111" t="s">
        <v>785</v>
      </c>
      <c r="L111" t="s">
        <v>1358</v>
      </c>
      <c r="M111" t="s">
        <v>160</v>
      </c>
      <c r="N111" t="s">
        <v>161</v>
      </c>
      <c r="O111" t="s">
        <v>523</v>
      </c>
      <c r="P111" t="s">
        <v>213</v>
      </c>
      <c r="Q111" t="s">
        <v>146</v>
      </c>
      <c r="R111" t="s">
        <v>456</v>
      </c>
      <c r="S111" t="s">
        <v>1927</v>
      </c>
    </row>
    <row r="112" spans="1:19">
      <c r="B112" t="s">
        <v>160</v>
      </c>
      <c r="C112" s="39">
        <f t="shared" ref="C112:I118" si="27">AVERAGE(C104,J104)</f>
        <v>23.5</v>
      </c>
      <c r="D112" s="39">
        <f t="shared" si="27"/>
        <v>15.3</v>
      </c>
      <c r="E112" s="39">
        <f t="shared" si="27"/>
        <v>29</v>
      </c>
      <c r="F112" s="39">
        <f t="shared" si="27"/>
        <v>22.1</v>
      </c>
      <c r="G112" s="39">
        <f t="shared" si="27"/>
        <v>19.25</v>
      </c>
      <c r="H112" s="39">
        <f t="shared" si="27"/>
        <v>16.5</v>
      </c>
      <c r="I112" s="39">
        <f t="shared" si="27"/>
        <v>16.5</v>
      </c>
      <c r="J112" s="39">
        <f>AVERAGE(C112:I112)</f>
        <v>20.307142857142857</v>
      </c>
      <c r="K112" s="39">
        <f>J112-$J$119</f>
        <v>3.1459183673469404</v>
      </c>
      <c r="L112" t="s">
        <v>160</v>
      </c>
      <c r="M112" s="39">
        <f>$J$119+$K112+C$120</f>
        <v>23.338775510204087</v>
      </c>
      <c r="N112" s="39">
        <f t="shared" ref="N112:S118" si="28">$J$119+$K112+D$120</f>
        <v>18.174489795918369</v>
      </c>
      <c r="O112" s="39">
        <f t="shared" si="28"/>
        <v>21.738775510204086</v>
      </c>
      <c r="P112" s="39">
        <f t="shared" si="28"/>
        <v>22.017346938775511</v>
      </c>
      <c r="Q112" s="39">
        <f t="shared" si="28"/>
        <v>19.431632653061225</v>
      </c>
      <c r="R112" s="39">
        <f t="shared" si="28"/>
        <v>21.603061224489799</v>
      </c>
      <c r="S112" s="39">
        <f>$J$119+$K112+I$120</f>
        <v>15.84591836734694</v>
      </c>
    </row>
    <row r="113" spans="2:19">
      <c r="B113" t="s">
        <v>161</v>
      </c>
      <c r="C113" s="39">
        <f t="shared" si="27"/>
        <v>15.95</v>
      </c>
      <c r="D113" s="39">
        <f t="shared" si="27"/>
        <v>18</v>
      </c>
      <c r="E113" s="39">
        <f t="shared" si="27"/>
        <v>14.7</v>
      </c>
      <c r="F113" s="39">
        <f t="shared" si="27"/>
        <v>18.600000000000001</v>
      </c>
      <c r="G113" s="39">
        <f t="shared" si="27"/>
        <v>15.25</v>
      </c>
      <c r="H113" s="39">
        <f t="shared" si="27"/>
        <v>16.100000000000001</v>
      </c>
      <c r="I113" s="39">
        <f t="shared" si="27"/>
        <v>14.600000000000001</v>
      </c>
      <c r="J113" s="39">
        <f t="shared" ref="J113:J118" si="29">AVERAGE(C113:I113)</f>
        <v>16.171428571428571</v>
      </c>
      <c r="K113" s="39">
        <f t="shared" ref="K113:K118" si="30">J113-$J$119</f>
        <v>-0.98979591836734571</v>
      </c>
      <c r="L113" t="s">
        <v>161</v>
      </c>
      <c r="M113" s="39">
        <f t="shared" ref="M113:M118" si="31">$J$119+$K113+C$120</f>
        <v>19.203061224489801</v>
      </c>
      <c r="N113" s="39">
        <f t="shared" si="28"/>
        <v>14.038775510204083</v>
      </c>
      <c r="O113" s="39">
        <f t="shared" si="28"/>
        <v>17.603061224489799</v>
      </c>
      <c r="P113" s="39">
        <f t="shared" si="28"/>
        <v>17.881632653061224</v>
      </c>
      <c r="Q113" s="39">
        <f t="shared" si="28"/>
        <v>15.295918367346939</v>
      </c>
      <c r="R113" s="39">
        <f t="shared" si="28"/>
        <v>17.467346938775513</v>
      </c>
      <c r="S113" s="39">
        <f t="shared" si="28"/>
        <v>11.710204081632654</v>
      </c>
    </row>
    <row r="114" spans="2:19">
      <c r="B114" t="s">
        <v>523</v>
      </c>
      <c r="C114" s="39">
        <f t="shared" si="27"/>
        <v>31.1</v>
      </c>
      <c r="D114" s="39">
        <f t="shared" si="27"/>
        <v>22</v>
      </c>
      <c r="E114" s="39">
        <f t="shared" si="27"/>
        <v>23</v>
      </c>
      <c r="F114" s="39">
        <f t="shared" si="27"/>
        <v>25</v>
      </c>
      <c r="G114" s="39">
        <f t="shared" si="27"/>
        <v>19.600000000000001</v>
      </c>
      <c r="H114" s="39">
        <f t="shared" si="27"/>
        <v>29.1</v>
      </c>
      <c r="I114" s="39">
        <f t="shared" si="27"/>
        <v>13.5</v>
      </c>
      <c r="J114" s="39">
        <f t="shared" si="29"/>
        <v>23.328571428571426</v>
      </c>
      <c r="K114" s="39">
        <f t="shared" si="30"/>
        <v>6.1673469387755091</v>
      </c>
      <c r="L114" t="s">
        <v>523</v>
      </c>
      <c r="M114" s="39">
        <f t="shared" si="31"/>
        <v>26.360204081632656</v>
      </c>
      <c r="N114" s="39">
        <f t="shared" si="28"/>
        <v>21.195918367346938</v>
      </c>
      <c r="O114" s="39">
        <f t="shared" si="28"/>
        <v>24.760204081632654</v>
      </c>
      <c r="P114" s="39">
        <f t="shared" si="28"/>
        <v>25.038775510204079</v>
      </c>
      <c r="Q114" s="39">
        <f t="shared" si="28"/>
        <v>22.453061224489794</v>
      </c>
      <c r="R114" s="39">
        <f t="shared" si="28"/>
        <v>24.624489795918368</v>
      </c>
      <c r="S114" s="39">
        <f t="shared" si="28"/>
        <v>18.867346938775508</v>
      </c>
    </row>
    <row r="115" spans="2:19">
      <c r="B115" t="s">
        <v>213</v>
      </c>
      <c r="C115" s="39">
        <f t="shared" si="27"/>
        <v>17</v>
      </c>
      <c r="D115" s="39">
        <f t="shared" si="27"/>
        <v>12.2</v>
      </c>
      <c r="E115" s="39">
        <f t="shared" si="27"/>
        <v>16.55</v>
      </c>
      <c r="F115" s="39">
        <f t="shared" si="27"/>
        <v>18.2</v>
      </c>
      <c r="G115" s="39">
        <f t="shared" si="27"/>
        <v>13.3</v>
      </c>
      <c r="H115" s="39">
        <f t="shared" si="27"/>
        <v>15.8</v>
      </c>
      <c r="I115" s="39">
        <f t="shared" si="27"/>
        <v>12.399999999999999</v>
      </c>
      <c r="J115" s="39">
        <f t="shared" si="29"/>
        <v>15.064285714285713</v>
      </c>
      <c r="K115" s="39">
        <f t="shared" si="30"/>
        <v>-2.0969387755102034</v>
      </c>
      <c r="L115" t="s">
        <v>523</v>
      </c>
      <c r="M115" s="39">
        <f t="shared" si="31"/>
        <v>18.095918367346943</v>
      </c>
      <c r="N115" s="39">
        <f t="shared" si="28"/>
        <v>12.931632653061225</v>
      </c>
      <c r="O115" s="39">
        <f t="shared" si="28"/>
        <v>16.495918367346942</v>
      </c>
      <c r="P115" s="39">
        <f t="shared" si="28"/>
        <v>16.774489795918367</v>
      </c>
      <c r="Q115" s="39">
        <f t="shared" si="28"/>
        <v>14.188775510204081</v>
      </c>
      <c r="R115" s="39">
        <f t="shared" si="28"/>
        <v>16.360204081632656</v>
      </c>
      <c r="S115" s="39">
        <f t="shared" si="28"/>
        <v>10.603061224489796</v>
      </c>
    </row>
    <row r="116" spans="2:19">
      <c r="B116" t="s">
        <v>146</v>
      </c>
      <c r="C116" s="39">
        <f t="shared" si="27"/>
        <v>16.7</v>
      </c>
      <c r="D116" s="39">
        <f t="shared" si="27"/>
        <v>12.899999999999999</v>
      </c>
      <c r="E116" s="39">
        <f t="shared" si="27"/>
        <v>15.3</v>
      </c>
      <c r="F116" s="39">
        <f t="shared" si="27"/>
        <v>14.5</v>
      </c>
      <c r="G116" s="39">
        <f t="shared" si="27"/>
        <v>15.2</v>
      </c>
      <c r="H116" s="39">
        <f t="shared" si="27"/>
        <v>17</v>
      </c>
      <c r="I116" s="39">
        <f t="shared" si="27"/>
        <v>11.3</v>
      </c>
      <c r="J116" s="39">
        <f t="shared" si="29"/>
        <v>14.7</v>
      </c>
      <c r="K116" s="39">
        <f t="shared" si="30"/>
        <v>-2.4612244897959172</v>
      </c>
      <c r="L116" t="s">
        <v>146</v>
      </c>
      <c r="M116" s="39">
        <f t="shared" si="31"/>
        <v>17.731632653061229</v>
      </c>
      <c r="N116" s="39">
        <f t="shared" si="28"/>
        <v>12.567346938775511</v>
      </c>
      <c r="O116" s="39">
        <f t="shared" si="28"/>
        <v>16.131632653061228</v>
      </c>
      <c r="P116" s="39">
        <f t="shared" si="28"/>
        <v>16.410204081632653</v>
      </c>
      <c r="Q116" s="39">
        <f t="shared" si="28"/>
        <v>13.824489795918367</v>
      </c>
      <c r="R116" s="39">
        <f t="shared" si="28"/>
        <v>15.995918367346942</v>
      </c>
      <c r="S116" s="39">
        <f t="shared" si="28"/>
        <v>10.238775510204082</v>
      </c>
    </row>
    <row r="117" spans="2:19">
      <c r="B117" t="s">
        <v>456</v>
      </c>
      <c r="C117" s="39">
        <f t="shared" si="27"/>
        <v>21.799999999999997</v>
      </c>
      <c r="D117" s="39">
        <f t="shared" si="27"/>
        <v>14.1</v>
      </c>
      <c r="E117" s="39">
        <f t="shared" si="27"/>
        <v>16.700000000000003</v>
      </c>
      <c r="F117" s="39">
        <f t="shared" si="27"/>
        <v>19.600000000000001</v>
      </c>
      <c r="G117" s="39">
        <f t="shared" si="27"/>
        <v>15.8</v>
      </c>
      <c r="H117" s="39">
        <f t="shared" si="27"/>
        <v>21.4</v>
      </c>
      <c r="I117" s="39">
        <f>AVERAGE(I109,P109)</f>
        <v>9.6</v>
      </c>
      <c r="J117" s="39">
        <f t="shared" si="29"/>
        <v>17</v>
      </c>
      <c r="K117" s="39">
        <f t="shared" si="30"/>
        <v>-0.16122448979591653</v>
      </c>
      <c r="L117" t="s">
        <v>456</v>
      </c>
      <c r="M117" s="39">
        <f t="shared" si="31"/>
        <v>20.03163265306123</v>
      </c>
      <c r="N117" s="39">
        <f t="shared" si="28"/>
        <v>14.867346938775512</v>
      </c>
      <c r="O117" s="39">
        <f t="shared" si="28"/>
        <v>18.431632653061229</v>
      </c>
      <c r="P117" s="39">
        <f t="shared" si="28"/>
        <v>18.710204081632654</v>
      </c>
      <c r="Q117" s="39">
        <f t="shared" si="28"/>
        <v>16.124489795918368</v>
      </c>
      <c r="R117" s="39">
        <f t="shared" si="28"/>
        <v>18.295918367346943</v>
      </c>
      <c r="S117" s="39">
        <f t="shared" si="28"/>
        <v>12.538775510204083</v>
      </c>
    </row>
    <row r="118" spans="2:19">
      <c r="B118" t="s">
        <v>1357</v>
      </c>
      <c r="C118" s="39">
        <f>AVERAGE(C110,J110)</f>
        <v>15.3</v>
      </c>
      <c r="D118" s="39">
        <f t="shared" si="27"/>
        <v>10.7</v>
      </c>
      <c r="E118" s="39">
        <f t="shared" si="27"/>
        <v>14.899999999999999</v>
      </c>
      <c r="F118" s="39">
        <f t="shared" si="27"/>
        <v>14.100000000000001</v>
      </c>
      <c r="G118" s="39">
        <f t="shared" si="27"/>
        <v>15.6</v>
      </c>
      <c r="H118" s="39">
        <f t="shared" si="27"/>
        <v>13.3</v>
      </c>
      <c r="I118" s="39">
        <f t="shared" si="27"/>
        <v>11</v>
      </c>
      <c r="J118" s="39">
        <f t="shared" si="29"/>
        <v>13.557142857142855</v>
      </c>
      <c r="K118" s="39">
        <f t="shared" si="30"/>
        <v>-3.6040816326530614</v>
      </c>
      <c r="L118" t="s">
        <v>1357</v>
      </c>
      <c r="M118" s="39">
        <f t="shared" si="31"/>
        <v>16.588775510204087</v>
      </c>
      <c r="N118" s="39">
        <f t="shared" si="28"/>
        <v>11.424489795918367</v>
      </c>
      <c r="O118" s="39">
        <f t="shared" si="28"/>
        <v>14.988775510204084</v>
      </c>
      <c r="P118" s="39">
        <f t="shared" si="28"/>
        <v>15.267346938775509</v>
      </c>
      <c r="Q118" s="39">
        <f t="shared" si="28"/>
        <v>12.681632653061223</v>
      </c>
      <c r="R118" s="39">
        <f t="shared" si="28"/>
        <v>14.853061224489798</v>
      </c>
      <c r="S118" s="39">
        <f t="shared" si="28"/>
        <v>9.0959183673469379</v>
      </c>
    </row>
    <row r="119" spans="2:19">
      <c r="B119" t="s">
        <v>1048</v>
      </c>
      <c r="C119" s="39">
        <f>AVERAGE(C112:C118)</f>
        <v>20.192857142857147</v>
      </c>
      <c r="D119" s="39">
        <f t="shared" ref="D119:I119" si="32">AVERAGE(D112:D118)</f>
        <v>15.028571428571428</v>
      </c>
      <c r="E119" s="39">
        <f t="shared" si="32"/>
        <v>18.592857142857145</v>
      </c>
      <c r="F119" s="39">
        <f t="shared" si="32"/>
        <v>18.87142857142857</v>
      </c>
      <c r="G119" s="39">
        <f t="shared" si="32"/>
        <v>16.285714285714285</v>
      </c>
      <c r="H119" s="39">
        <f t="shared" si="32"/>
        <v>18.457142857142859</v>
      </c>
      <c r="I119" s="39">
        <f t="shared" si="32"/>
        <v>12.7</v>
      </c>
      <c r="J119" s="39">
        <f>AVERAGE(C112:I118)</f>
        <v>17.161224489795917</v>
      </c>
      <c r="L119" t="s">
        <v>672</v>
      </c>
      <c r="M119" s="13">
        <f>CORREL(C112:I118,M112:S118)</f>
        <v>0.86072147921778075</v>
      </c>
    </row>
    <row r="120" spans="2:19">
      <c r="B120" t="s">
        <v>1359</v>
      </c>
      <c r="C120" s="39">
        <f>C119-$J$119</f>
        <v>3.0316326530612301</v>
      </c>
      <c r="D120" s="39">
        <f t="shared" ref="D120:I120" si="33">D119-$J$119</f>
        <v>-2.1326530612244881</v>
      </c>
      <c r="E120" s="39">
        <f t="shared" si="33"/>
        <v>1.4316326530612287</v>
      </c>
      <c r="F120" s="39">
        <f t="shared" si="33"/>
        <v>1.7102040816326536</v>
      </c>
      <c r="G120" s="39">
        <f t="shared" si="33"/>
        <v>-0.87551020408163183</v>
      </c>
      <c r="H120" s="39">
        <f t="shared" si="33"/>
        <v>1.2959183673469425</v>
      </c>
      <c r="I120" s="39">
        <f t="shared" si="33"/>
        <v>-4.4612244897959172</v>
      </c>
    </row>
    <row r="121" spans="2:19">
      <c r="B121" t="s">
        <v>786</v>
      </c>
      <c r="C121" t="s">
        <v>160</v>
      </c>
      <c r="D121" t="s">
        <v>161</v>
      </c>
      <c r="E121" t="s">
        <v>523</v>
      </c>
      <c r="F121" t="s">
        <v>213</v>
      </c>
      <c r="G121" t="s">
        <v>146</v>
      </c>
      <c r="H121" t="s">
        <v>456</v>
      </c>
      <c r="I121" t="s">
        <v>1357</v>
      </c>
      <c r="L121" t="s">
        <v>515</v>
      </c>
      <c r="M121" t="s">
        <v>1358</v>
      </c>
    </row>
    <row r="122" spans="2:19">
      <c r="B122" t="s">
        <v>160</v>
      </c>
      <c r="C122" s="39">
        <f>C112-$J$119-$K112-C$120</f>
        <v>0.16122448979591297</v>
      </c>
      <c r="D122" s="39">
        <f t="shared" ref="D122:I122" si="34">D112-$J$119-$K112-D$120</f>
        <v>-2.8744897959183682</v>
      </c>
      <c r="E122" s="39">
        <f t="shared" si="34"/>
        <v>7.2612244897959144</v>
      </c>
      <c r="F122" s="39">
        <f t="shared" si="34"/>
        <v>8.2653061224490898E-2</v>
      </c>
      <c r="G122" s="39">
        <f t="shared" si="34"/>
        <v>-0.18163265306122511</v>
      </c>
      <c r="H122" s="39">
        <f t="shared" si="34"/>
        <v>-5.1030612244897995</v>
      </c>
      <c r="I122" s="39">
        <f t="shared" si="34"/>
        <v>0.6540816326530603</v>
      </c>
      <c r="K122" t="s">
        <v>160</v>
      </c>
      <c r="L122" s="39">
        <f t="shared" ref="L122:L128" si="35">C112</f>
        <v>23.5</v>
      </c>
      <c r="M122" s="39">
        <f t="shared" ref="M122:M128" si="36">M112</f>
        <v>23.338775510204087</v>
      </c>
    </row>
    <row r="123" spans="2:19">
      <c r="B123" t="s">
        <v>161</v>
      </c>
      <c r="C123" s="39">
        <f t="shared" ref="C123:I128" si="37">C113-$J$119-$K113-C$120</f>
        <v>-3.2530612244898016</v>
      </c>
      <c r="D123" s="39">
        <f t="shared" si="37"/>
        <v>3.9612244897959172</v>
      </c>
      <c r="E123" s="39">
        <f t="shared" si="37"/>
        <v>-2.9030612244898002</v>
      </c>
      <c r="F123" s="39">
        <f t="shared" si="37"/>
        <v>0.71836734693877702</v>
      </c>
      <c r="G123" s="39">
        <f t="shared" si="37"/>
        <v>-4.5918367346938993E-2</v>
      </c>
      <c r="H123" s="39">
        <f t="shared" si="37"/>
        <v>-1.3673469387755119</v>
      </c>
      <c r="I123" s="39">
        <f t="shared" si="37"/>
        <v>2.8897959183673478</v>
      </c>
      <c r="K123" t="s">
        <v>161</v>
      </c>
      <c r="L123" s="39">
        <f t="shared" si="35"/>
        <v>15.95</v>
      </c>
      <c r="M123" s="39">
        <f t="shared" si="36"/>
        <v>19.203061224489801</v>
      </c>
    </row>
    <row r="124" spans="2:19">
      <c r="B124" t="s">
        <v>523</v>
      </c>
      <c r="C124" s="39">
        <f t="shared" si="37"/>
        <v>4.7397959183673457</v>
      </c>
      <c r="D124" s="39">
        <f t="shared" si="37"/>
        <v>0.80408163265306243</v>
      </c>
      <c r="E124" s="39">
        <f t="shared" si="37"/>
        <v>-1.7602040816326543</v>
      </c>
      <c r="F124" s="39">
        <f t="shared" si="37"/>
        <v>-3.8775510204079211E-2</v>
      </c>
      <c r="G124" s="39">
        <f t="shared" si="37"/>
        <v>-2.8530612244897924</v>
      </c>
      <c r="H124" s="39">
        <f t="shared" si="37"/>
        <v>4.4755102040816332</v>
      </c>
      <c r="I124" s="39">
        <f t="shared" si="37"/>
        <v>-5.3673469387755084</v>
      </c>
      <c r="K124" t="s">
        <v>523</v>
      </c>
      <c r="L124" s="39">
        <f t="shared" si="35"/>
        <v>31.1</v>
      </c>
      <c r="M124" s="39">
        <f t="shared" si="36"/>
        <v>26.360204081632656</v>
      </c>
    </row>
    <row r="125" spans="2:19">
      <c r="B125" t="s">
        <v>213</v>
      </c>
      <c r="C125" s="39">
        <f t="shared" si="37"/>
        <v>-1.0959183673469433</v>
      </c>
      <c r="D125" s="39">
        <f t="shared" si="37"/>
        <v>-0.73163265306122582</v>
      </c>
      <c r="E125" s="39">
        <f t="shared" si="37"/>
        <v>5.4081632653058875E-2</v>
      </c>
      <c r="F125" s="39">
        <f t="shared" si="37"/>
        <v>1.4255102040816325</v>
      </c>
      <c r="G125" s="39">
        <f t="shared" si="37"/>
        <v>-0.88877551020408063</v>
      </c>
      <c r="H125" s="39">
        <f t="shared" si="37"/>
        <v>-0.560204081632655</v>
      </c>
      <c r="I125" s="39">
        <f t="shared" si="37"/>
        <v>1.7969387755102026</v>
      </c>
      <c r="K125" t="s">
        <v>213</v>
      </c>
      <c r="L125" s="39">
        <f t="shared" si="35"/>
        <v>17</v>
      </c>
      <c r="M125" s="39">
        <f t="shared" si="36"/>
        <v>18.095918367346943</v>
      </c>
    </row>
    <row r="126" spans="2:19">
      <c r="B126" t="s">
        <v>146</v>
      </c>
      <c r="C126" s="39">
        <f t="shared" si="37"/>
        <v>-1.0316326530612301</v>
      </c>
      <c r="D126" s="39">
        <f t="shared" si="37"/>
        <v>0.33265306122448735</v>
      </c>
      <c r="E126" s="39">
        <f t="shared" si="37"/>
        <v>-0.83163265306122724</v>
      </c>
      <c r="F126" s="39">
        <f t="shared" si="37"/>
        <v>-1.9102040816326529</v>
      </c>
      <c r="G126" s="39">
        <f t="shared" si="37"/>
        <v>1.3755102040816318</v>
      </c>
      <c r="H126" s="39">
        <f t="shared" si="37"/>
        <v>1.0040816326530582</v>
      </c>
      <c r="I126" s="39">
        <f t="shared" si="37"/>
        <v>1.0612244897959187</v>
      </c>
      <c r="K126" t="s">
        <v>146</v>
      </c>
      <c r="L126" s="39">
        <f t="shared" si="35"/>
        <v>16.7</v>
      </c>
      <c r="M126" s="39">
        <f t="shared" si="36"/>
        <v>17.731632653061229</v>
      </c>
    </row>
    <row r="127" spans="2:19">
      <c r="B127" t="s">
        <v>456</v>
      </c>
      <c r="C127" s="39">
        <f t="shared" si="37"/>
        <v>1.7683673469387671</v>
      </c>
      <c r="D127" s="39">
        <f t="shared" si="37"/>
        <v>-0.7673469387755123</v>
      </c>
      <c r="E127" s="39">
        <f t="shared" si="37"/>
        <v>-1.7316326530612258</v>
      </c>
      <c r="F127" s="39">
        <f t="shared" si="37"/>
        <v>0.88979591836734784</v>
      </c>
      <c r="G127" s="39">
        <f t="shared" si="37"/>
        <v>-0.32448979591836746</v>
      </c>
      <c r="H127" s="39">
        <f t="shared" si="37"/>
        <v>3.104081632653056</v>
      </c>
      <c r="I127" s="39">
        <f t="shared" si="37"/>
        <v>-2.9387755102040831</v>
      </c>
      <c r="K127" t="s">
        <v>456</v>
      </c>
      <c r="L127" s="39">
        <f t="shared" si="35"/>
        <v>21.799999999999997</v>
      </c>
      <c r="M127" s="39">
        <f t="shared" si="36"/>
        <v>20.03163265306123</v>
      </c>
    </row>
    <row r="128" spans="2:19">
      <c r="B128" t="s">
        <v>1357</v>
      </c>
      <c r="C128" s="39">
        <f t="shared" si="37"/>
        <v>-1.2887755102040845</v>
      </c>
      <c r="D128" s="39">
        <f t="shared" si="37"/>
        <v>-0.72448979591836782</v>
      </c>
      <c r="E128" s="39">
        <f t="shared" si="37"/>
        <v>-8.8775510204085251E-2</v>
      </c>
      <c r="F128" s="39">
        <f t="shared" si="37"/>
        <v>-1.1673469387755073</v>
      </c>
      <c r="G128" s="39">
        <f t="shared" si="37"/>
        <v>2.9183673469387763</v>
      </c>
      <c r="H128" s="39">
        <f t="shared" si="37"/>
        <v>-1.553061224489797</v>
      </c>
      <c r="I128" s="39">
        <f t="shared" si="37"/>
        <v>1.9040816326530621</v>
      </c>
      <c r="K128" t="s">
        <v>1357</v>
      </c>
      <c r="L128" s="39">
        <f t="shared" si="35"/>
        <v>15.3</v>
      </c>
      <c r="M128" s="39">
        <f t="shared" si="36"/>
        <v>16.588775510204087</v>
      </c>
    </row>
    <row r="129" spans="2:13">
      <c r="B129" t="s">
        <v>1052</v>
      </c>
      <c r="C129" t="s">
        <v>603</v>
      </c>
      <c r="D129" t="s">
        <v>1053</v>
      </c>
      <c r="E129" t="s">
        <v>1054</v>
      </c>
      <c r="F129" t="s">
        <v>1360</v>
      </c>
      <c r="K129" t="s">
        <v>160</v>
      </c>
      <c r="L129" s="39">
        <f t="shared" ref="L129:L135" si="38">D112</f>
        <v>15.3</v>
      </c>
      <c r="M129" s="39">
        <f t="shared" ref="M129:M135" si="39">N112</f>
        <v>18.174489795918369</v>
      </c>
    </row>
    <row r="130" spans="2:13">
      <c r="B130" t="s">
        <v>1923</v>
      </c>
      <c r="C130">
        <v>6</v>
      </c>
      <c r="D130" s="39">
        <f>SUMSQ(K112:K118)*14</f>
        <v>1013.3597959183671</v>
      </c>
      <c r="E130" s="39">
        <f>D130/C130</f>
        <v>168.89329931972784</v>
      </c>
      <c r="F130" s="39">
        <f>(E130-E133)/14</f>
        <v>11.829433916423691</v>
      </c>
      <c r="K130" t="s">
        <v>161</v>
      </c>
      <c r="L130" s="39">
        <f t="shared" si="38"/>
        <v>18</v>
      </c>
      <c r="M130" s="39">
        <f t="shared" si="39"/>
        <v>14.038775510204083</v>
      </c>
    </row>
    <row r="131" spans="2:13">
      <c r="B131" t="s">
        <v>1924</v>
      </c>
      <c r="C131">
        <v>6</v>
      </c>
      <c r="D131" s="39">
        <f>SUMSQ(C120:I120)*14</f>
        <v>574.86551020408206</v>
      </c>
      <c r="E131" s="39">
        <f t="shared" ref="E131:E133" si="40">D131/C131</f>
        <v>95.810918367347014</v>
      </c>
      <c r="F131" s="39">
        <f>(E131-E133)/14</f>
        <v>6.6092638483964876</v>
      </c>
      <c r="K131" t="s">
        <v>523</v>
      </c>
      <c r="L131" s="39">
        <f t="shared" si="38"/>
        <v>22</v>
      </c>
      <c r="M131" s="39">
        <f t="shared" si="39"/>
        <v>21.195918367346938</v>
      </c>
    </row>
    <row r="132" spans="2:13">
      <c r="B132" t="s">
        <v>1925</v>
      </c>
      <c r="C132">
        <v>36</v>
      </c>
      <c r="D132" s="39">
        <f>SUMSQ(C122:I128)*2</f>
        <v>555.58734693877545</v>
      </c>
      <c r="E132" s="39">
        <f t="shared" si="40"/>
        <v>15.432981859410429</v>
      </c>
      <c r="F132" s="39">
        <f>(E132-E133)/2</f>
        <v>6.0758786848071207</v>
      </c>
      <c r="K132" t="s">
        <v>213</v>
      </c>
      <c r="L132" s="39">
        <f t="shared" si="38"/>
        <v>12.2</v>
      </c>
      <c r="M132" s="39">
        <f t="shared" si="39"/>
        <v>12.931632653061225</v>
      </c>
    </row>
    <row r="133" spans="2:13">
      <c r="B133" t="s">
        <v>1361</v>
      </c>
      <c r="C133">
        <f>C134-C130-C131-C132</f>
        <v>49</v>
      </c>
      <c r="D133" s="39">
        <f>D134-D130-D131-D132</f>
        <v>160.78000000001316</v>
      </c>
      <c r="E133" s="39">
        <f t="shared" si="40"/>
        <v>3.2812244897961871</v>
      </c>
      <c r="F133" s="39">
        <f>E133</f>
        <v>3.2812244897961871</v>
      </c>
      <c r="K133" t="s">
        <v>146</v>
      </c>
      <c r="L133" s="39">
        <f t="shared" si="38"/>
        <v>12.899999999999999</v>
      </c>
      <c r="M133" s="39">
        <f t="shared" si="39"/>
        <v>12.567346938775511</v>
      </c>
    </row>
    <row r="134" spans="2:13">
      <c r="B134" t="s">
        <v>804</v>
      </c>
      <c r="C134">
        <v>97</v>
      </c>
      <c r="D134" s="39">
        <f>SUMSQ(C104:P110)-98*J119^2</f>
        <v>2304.5926530612378</v>
      </c>
      <c r="E134" s="39"/>
      <c r="F134" s="39"/>
      <c r="K134" t="s">
        <v>456</v>
      </c>
      <c r="L134" s="39">
        <f t="shared" si="38"/>
        <v>14.1</v>
      </c>
      <c r="M134" s="39">
        <f t="shared" si="39"/>
        <v>14.867346938775512</v>
      </c>
    </row>
    <row r="135" spans="2:13">
      <c r="K135" t="s">
        <v>1357</v>
      </c>
      <c r="L135" s="39">
        <f t="shared" si="38"/>
        <v>10.7</v>
      </c>
      <c r="M135" s="39">
        <f t="shared" si="39"/>
        <v>11.424489795918367</v>
      </c>
    </row>
    <row r="136" spans="2:13">
      <c r="K136" t="s">
        <v>160</v>
      </c>
      <c r="L136" s="39">
        <f t="shared" ref="L136:L142" si="41">E112</f>
        <v>29</v>
      </c>
      <c r="M136" s="39">
        <f t="shared" ref="M136:M142" si="42">O112</f>
        <v>21.738775510204086</v>
      </c>
    </row>
    <row r="137" spans="2:13">
      <c r="K137" t="s">
        <v>161</v>
      </c>
      <c r="L137" s="39">
        <f t="shared" si="41"/>
        <v>14.7</v>
      </c>
      <c r="M137" s="39">
        <f t="shared" si="42"/>
        <v>17.603061224489799</v>
      </c>
    </row>
    <row r="138" spans="2:13">
      <c r="K138" t="s">
        <v>523</v>
      </c>
      <c r="L138" s="39">
        <f t="shared" si="41"/>
        <v>23</v>
      </c>
      <c r="M138" s="39">
        <f t="shared" si="42"/>
        <v>24.760204081632654</v>
      </c>
    </row>
    <row r="139" spans="2:13">
      <c r="K139" t="s">
        <v>213</v>
      </c>
      <c r="L139" s="39">
        <f t="shared" si="41"/>
        <v>16.55</v>
      </c>
      <c r="M139" s="39">
        <f t="shared" si="42"/>
        <v>16.495918367346942</v>
      </c>
    </row>
    <row r="140" spans="2:13">
      <c r="K140" t="s">
        <v>146</v>
      </c>
      <c r="L140" s="39">
        <f t="shared" si="41"/>
        <v>15.3</v>
      </c>
      <c r="M140" s="39">
        <f t="shared" si="42"/>
        <v>16.131632653061228</v>
      </c>
    </row>
    <row r="141" spans="2:13">
      <c r="K141" t="s">
        <v>456</v>
      </c>
      <c r="L141" s="39">
        <f t="shared" si="41"/>
        <v>16.700000000000003</v>
      </c>
      <c r="M141" s="39">
        <f t="shared" si="42"/>
        <v>18.431632653061229</v>
      </c>
    </row>
    <row r="142" spans="2:13">
      <c r="K142" t="s">
        <v>1357</v>
      </c>
      <c r="L142" s="39">
        <f t="shared" si="41"/>
        <v>14.899999999999999</v>
      </c>
      <c r="M142" s="39">
        <f t="shared" si="42"/>
        <v>14.988775510204084</v>
      </c>
    </row>
    <row r="143" spans="2:13">
      <c r="K143" t="s">
        <v>160</v>
      </c>
      <c r="L143" s="39">
        <f t="shared" ref="L143:L149" si="43">F112</f>
        <v>22.1</v>
      </c>
      <c r="M143" s="39">
        <f t="shared" ref="M143:M149" si="44">P112</f>
        <v>22.017346938775511</v>
      </c>
    </row>
    <row r="144" spans="2:13">
      <c r="K144" t="s">
        <v>161</v>
      </c>
      <c r="L144" s="39">
        <f t="shared" si="43"/>
        <v>18.600000000000001</v>
      </c>
      <c r="M144" s="39">
        <f t="shared" si="44"/>
        <v>17.881632653061224</v>
      </c>
    </row>
    <row r="145" spans="11:13">
      <c r="K145" t="s">
        <v>523</v>
      </c>
      <c r="L145" s="39">
        <f t="shared" si="43"/>
        <v>25</v>
      </c>
      <c r="M145" s="39">
        <f t="shared" si="44"/>
        <v>25.038775510204079</v>
      </c>
    </row>
    <row r="146" spans="11:13">
      <c r="K146" t="s">
        <v>213</v>
      </c>
      <c r="L146" s="39">
        <f t="shared" si="43"/>
        <v>18.2</v>
      </c>
      <c r="M146" s="39">
        <f t="shared" si="44"/>
        <v>16.774489795918367</v>
      </c>
    </row>
    <row r="147" spans="11:13">
      <c r="K147" t="s">
        <v>146</v>
      </c>
      <c r="L147" s="39">
        <f t="shared" si="43"/>
        <v>14.5</v>
      </c>
      <c r="M147" s="39">
        <f t="shared" si="44"/>
        <v>16.410204081632653</v>
      </c>
    </row>
    <row r="148" spans="11:13">
      <c r="K148" t="s">
        <v>456</v>
      </c>
      <c r="L148" s="39">
        <f t="shared" si="43"/>
        <v>19.600000000000001</v>
      </c>
      <c r="M148" s="39">
        <f t="shared" si="44"/>
        <v>18.710204081632654</v>
      </c>
    </row>
    <row r="149" spans="11:13">
      <c r="K149" t="s">
        <v>1357</v>
      </c>
      <c r="L149" s="39">
        <f t="shared" si="43"/>
        <v>14.100000000000001</v>
      </c>
      <c r="M149" s="39">
        <f t="shared" si="44"/>
        <v>15.267346938775509</v>
      </c>
    </row>
    <row r="150" spans="11:13">
      <c r="K150" t="s">
        <v>160</v>
      </c>
      <c r="L150" s="39">
        <f t="shared" ref="L150:L156" si="45">G112</f>
        <v>19.25</v>
      </c>
      <c r="M150" s="39">
        <f t="shared" ref="M150:M156" si="46">Q112</f>
        <v>19.431632653061225</v>
      </c>
    </row>
    <row r="151" spans="11:13">
      <c r="K151" t="s">
        <v>161</v>
      </c>
      <c r="L151" s="39">
        <f t="shared" si="45"/>
        <v>15.25</v>
      </c>
      <c r="M151" s="39">
        <f t="shared" si="46"/>
        <v>15.295918367346939</v>
      </c>
    </row>
    <row r="152" spans="11:13">
      <c r="K152" t="s">
        <v>523</v>
      </c>
      <c r="L152" s="39">
        <f t="shared" si="45"/>
        <v>19.600000000000001</v>
      </c>
      <c r="M152" s="39">
        <f t="shared" si="46"/>
        <v>22.453061224489794</v>
      </c>
    </row>
    <row r="153" spans="11:13">
      <c r="K153" t="s">
        <v>213</v>
      </c>
      <c r="L153" s="39">
        <f t="shared" si="45"/>
        <v>13.3</v>
      </c>
      <c r="M153" s="39">
        <f t="shared" si="46"/>
        <v>14.188775510204081</v>
      </c>
    </row>
    <row r="154" spans="11:13">
      <c r="K154" t="s">
        <v>146</v>
      </c>
      <c r="L154" s="39">
        <f t="shared" si="45"/>
        <v>15.2</v>
      </c>
      <c r="M154" s="39">
        <f t="shared" si="46"/>
        <v>13.824489795918367</v>
      </c>
    </row>
    <row r="155" spans="11:13">
      <c r="K155" t="s">
        <v>456</v>
      </c>
      <c r="L155" s="39">
        <f t="shared" si="45"/>
        <v>15.8</v>
      </c>
      <c r="M155" s="39">
        <f t="shared" si="46"/>
        <v>16.124489795918368</v>
      </c>
    </row>
    <row r="156" spans="11:13">
      <c r="K156" t="s">
        <v>1357</v>
      </c>
      <c r="L156" s="39">
        <f t="shared" si="45"/>
        <v>15.6</v>
      </c>
      <c r="M156" s="39">
        <f t="shared" si="46"/>
        <v>12.681632653061223</v>
      </c>
    </row>
    <row r="157" spans="11:13">
      <c r="K157" t="s">
        <v>160</v>
      </c>
      <c r="L157" s="39">
        <f t="shared" ref="L157:L162" si="47">H112</f>
        <v>16.5</v>
      </c>
      <c r="M157" s="39">
        <f t="shared" ref="M157:M163" si="48">R112</f>
        <v>21.603061224489799</v>
      </c>
    </row>
    <row r="158" spans="11:13">
      <c r="K158" t="s">
        <v>161</v>
      </c>
      <c r="L158" s="39">
        <f t="shared" si="47"/>
        <v>16.100000000000001</v>
      </c>
      <c r="M158" s="39">
        <f t="shared" si="48"/>
        <v>17.467346938775513</v>
      </c>
    </row>
    <row r="159" spans="11:13">
      <c r="K159" t="s">
        <v>523</v>
      </c>
      <c r="L159" s="39">
        <f t="shared" si="47"/>
        <v>29.1</v>
      </c>
      <c r="M159" s="39">
        <f t="shared" si="48"/>
        <v>24.624489795918368</v>
      </c>
    </row>
    <row r="160" spans="11:13">
      <c r="K160" t="s">
        <v>213</v>
      </c>
      <c r="L160" s="39">
        <f t="shared" si="47"/>
        <v>15.8</v>
      </c>
      <c r="M160" s="39">
        <f t="shared" si="48"/>
        <v>16.360204081632656</v>
      </c>
    </row>
    <row r="161" spans="1:19">
      <c r="K161" t="s">
        <v>146</v>
      </c>
      <c r="L161" s="39">
        <f t="shared" si="47"/>
        <v>17</v>
      </c>
      <c r="M161" s="39">
        <f t="shared" si="48"/>
        <v>15.995918367346942</v>
      </c>
    </row>
    <row r="162" spans="1:19">
      <c r="K162" t="s">
        <v>456</v>
      </c>
      <c r="L162" s="39">
        <f t="shared" si="47"/>
        <v>21.4</v>
      </c>
      <c r="M162" s="39">
        <f t="shared" si="48"/>
        <v>18.295918367346943</v>
      </c>
    </row>
    <row r="163" spans="1:19">
      <c r="K163" t="s">
        <v>1357</v>
      </c>
      <c r="L163" s="39">
        <f>H118</f>
        <v>13.3</v>
      </c>
      <c r="M163" s="39">
        <f t="shared" si="48"/>
        <v>14.853061224489798</v>
      </c>
    </row>
    <row r="164" spans="1:19">
      <c r="K164" t="s">
        <v>160</v>
      </c>
      <c r="L164" s="39">
        <f>I112</f>
        <v>16.5</v>
      </c>
      <c r="M164" s="39">
        <f>S112</f>
        <v>15.84591836734694</v>
      </c>
    </row>
    <row r="165" spans="1:19">
      <c r="K165" t="s">
        <v>161</v>
      </c>
      <c r="L165" s="39">
        <f t="shared" ref="L165:L169" si="49">I113</f>
        <v>14.600000000000001</v>
      </c>
      <c r="M165" s="39">
        <f t="shared" ref="M165:M170" si="50">S113</f>
        <v>11.710204081632654</v>
      </c>
    </row>
    <row r="166" spans="1:19">
      <c r="K166" t="s">
        <v>507</v>
      </c>
      <c r="L166" s="39">
        <f t="shared" si="49"/>
        <v>13.5</v>
      </c>
      <c r="M166" s="39">
        <f t="shared" si="50"/>
        <v>18.867346938775508</v>
      </c>
    </row>
    <row r="167" spans="1:19">
      <c r="K167" t="s">
        <v>213</v>
      </c>
      <c r="L167" s="39">
        <f t="shared" si="49"/>
        <v>12.399999999999999</v>
      </c>
      <c r="M167" s="39">
        <f t="shared" si="50"/>
        <v>10.603061224489796</v>
      </c>
    </row>
    <row r="168" spans="1:19">
      <c r="K168" t="s">
        <v>146</v>
      </c>
      <c r="L168" s="39">
        <f t="shared" si="49"/>
        <v>11.3</v>
      </c>
      <c r="M168" s="39">
        <f t="shared" si="50"/>
        <v>10.238775510204082</v>
      </c>
    </row>
    <row r="169" spans="1:19">
      <c r="K169" t="s">
        <v>456</v>
      </c>
      <c r="L169" s="39">
        <f t="shared" si="49"/>
        <v>9.6</v>
      </c>
      <c r="M169" s="39">
        <f t="shared" si="50"/>
        <v>12.538775510204083</v>
      </c>
    </row>
    <row r="170" spans="1:19">
      <c r="K170" t="s">
        <v>1357</v>
      </c>
      <c r="L170" s="39">
        <f>I118</f>
        <v>11</v>
      </c>
      <c r="M170" s="39">
        <f t="shared" si="50"/>
        <v>9.0959183673469379</v>
      </c>
    </row>
    <row r="171" spans="1:19">
      <c r="K171" t="s">
        <v>672</v>
      </c>
      <c r="L171" s="13">
        <f>CORREL(L122:L170,M122:M170)</f>
        <v>0.86072147921778075</v>
      </c>
      <c r="M171" s="39"/>
    </row>
    <row r="173" spans="1:19">
      <c r="A173" s="11" t="s">
        <v>1947</v>
      </c>
      <c r="B173" t="s">
        <v>1363</v>
      </c>
      <c r="C173" t="s">
        <v>1364</v>
      </c>
      <c r="D173" t="s">
        <v>1365</v>
      </c>
      <c r="E173" t="s">
        <v>1366</v>
      </c>
      <c r="F173" t="s">
        <v>1367</v>
      </c>
      <c r="G173" t="s">
        <v>1368</v>
      </c>
      <c r="H173" t="s">
        <v>624</v>
      </c>
      <c r="I173" t="s">
        <v>1357</v>
      </c>
      <c r="J173" t="s">
        <v>1369</v>
      </c>
      <c r="L173" t="s">
        <v>1358</v>
      </c>
      <c r="M173" t="s">
        <v>1364</v>
      </c>
      <c r="N173" t="s">
        <v>1365</v>
      </c>
      <c r="O173" t="s">
        <v>1366</v>
      </c>
      <c r="P173" t="s">
        <v>1367</v>
      </c>
      <c r="Q173" t="s">
        <v>1368</v>
      </c>
      <c r="R173" t="s">
        <v>624</v>
      </c>
      <c r="S173" t="s">
        <v>1357</v>
      </c>
    </row>
    <row r="174" spans="1:19">
      <c r="B174" t="s">
        <v>1364</v>
      </c>
      <c r="C174" s="39">
        <v>23.5</v>
      </c>
      <c r="D174" s="39">
        <v>15.3</v>
      </c>
      <c r="E174" s="39">
        <v>29</v>
      </c>
      <c r="F174" s="39">
        <v>22.1</v>
      </c>
      <c r="G174" s="39">
        <v>19.25</v>
      </c>
      <c r="H174" s="39">
        <v>16.5</v>
      </c>
      <c r="I174" s="39">
        <v>16.5</v>
      </c>
      <c r="J174" s="39">
        <f>AVERAGE(C174:I174,C174:C180)</f>
        <v>20.25</v>
      </c>
      <c r="K174" s="39"/>
      <c r="L174" t="s">
        <v>1364</v>
      </c>
      <c r="M174" s="39">
        <f t="shared" ref="M174:S180" si="51">$J$181+$J183+C$190</f>
        <v>23.338775510204083</v>
      </c>
      <c r="N174" s="39">
        <f t="shared" si="51"/>
        <v>18.688775510204081</v>
      </c>
      <c r="O174" s="39">
        <f t="shared" si="51"/>
        <v>24.049489795918365</v>
      </c>
      <c r="P174" s="39">
        <f t="shared" si="51"/>
        <v>20.056632653061222</v>
      </c>
      <c r="Q174" s="39">
        <f t="shared" si="51"/>
        <v>18.581632653061227</v>
      </c>
      <c r="R174" s="39">
        <f t="shared" si="51"/>
        <v>20.817346938775515</v>
      </c>
      <c r="S174" s="39">
        <f t="shared" si="51"/>
        <v>16.217346938775513</v>
      </c>
    </row>
    <row r="175" spans="1:19">
      <c r="B175" t="s">
        <v>1365</v>
      </c>
      <c r="C175" s="39">
        <v>15.95</v>
      </c>
      <c r="D175" s="39">
        <v>18</v>
      </c>
      <c r="E175" s="39">
        <v>14.7</v>
      </c>
      <c r="F175" s="39">
        <v>18.600000000000001</v>
      </c>
      <c r="G175" s="39">
        <v>15.25</v>
      </c>
      <c r="H175" s="39">
        <v>16.100000000000001</v>
      </c>
      <c r="I175" s="39">
        <v>14.600000000000001</v>
      </c>
      <c r="J175" s="39">
        <f>AVERAGE(C175:I175,D174:D180)</f>
        <v>15.599999999999998</v>
      </c>
      <c r="K175" s="39"/>
      <c r="L175" t="s">
        <v>1365</v>
      </c>
      <c r="M175" s="39">
        <f t="shared" si="51"/>
        <v>18.688775510204081</v>
      </c>
      <c r="N175" s="39">
        <f t="shared" si="51"/>
        <v>14.038775510204079</v>
      </c>
      <c r="O175" s="39">
        <f t="shared" si="51"/>
        <v>19.399489795918363</v>
      </c>
      <c r="P175" s="39">
        <f t="shared" si="51"/>
        <v>15.406632653061219</v>
      </c>
      <c r="Q175" s="39">
        <f t="shared" si="51"/>
        <v>13.931632653061223</v>
      </c>
      <c r="R175" s="39">
        <f t="shared" si="51"/>
        <v>16.167346938775513</v>
      </c>
      <c r="S175" s="39">
        <f t="shared" si="51"/>
        <v>11.567346938775511</v>
      </c>
    </row>
    <row r="176" spans="1:19">
      <c r="B176" t="s">
        <v>1366</v>
      </c>
      <c r="C176" s="39">
        <v>31.1</v>
      </c>
      <c r="D176" s="39">
        <v>22</v>
      </c>
      <c r="E176" s="39">
        <v>23</v>
      </c>
      <c r="F176" s="39">
        <v>25</v>
      </c>
      <c r="G176" s="39">
        <v>19.600000000000001</v>
      </c>
      <c r="H176" s="39">
        <v>29.1</v>
      </c>
      <c r="I176" s="39">
        <v>13.5</v>
      </c>
      <c r="J176" s="39">
        <f>AVERAGE(C176:I176,E174:E180)</f>
        <v>20.960714285714282</v>
      </c>
      <c r="K176" s="39"/>
      <c r="L176" t="s">
        <v>1366</v>
      </c>
      <c r="M176" s="39">
        <f t="shared" si="51"/>
        <v>24.049489795918365</v>
      </c>
      <c r="N176" s="39">
        <f t="shared" si="51"/>
        <v>19.399489795918363</v>
      </c>
      <c r="O176" s="39">
        <f t="shared" si="51"/>
        <v>24.760204081632647</v>
      </c>
      <c r="P176" s="39">
        <f t="shared" si="51"/>
        <v>20.767346938775503</v>
      </c>
      <c r="Q176" s="39">
        <f t="shared" si="51"/>
        <v>19.292346938775509</v>
      </c>
      <c r="R176" s="39">
        <f t="shared" si="51"/>
        <v>21.528061224489797</v>
      </c>
      <c r="S176" s="39">
        <f t="shared" si="51"/>
        <v>16.928061224489795</v>
      </c>
    </row>
    <row r="177" spans="1:19">
      <c r="B177" t="s">
        <v>1367</v>
      </c>
      <c r="C177" s="39">
        <v>17</v>
      </c>
      <c r="D177" s="39">
        <v>12.2</v>
      </c>
      <c r="E177" s="39">
        <v>16.55</v>
      </c>
      <c r="F177" s="39">
        <v>18.2</v>
      </c>
      <c r="G177" s="39">
        <v>13.3</v>
      </c>
      <c r="H177" s="39">
        <v>15.8</v>
      </c>
      <c r="I177" s="39">
        <v>12.399999999999999</v>
      </c>
      <c r="J177" s="39">
        <f>AVERAGE(C177:I177,F174:F180)</f>
        <v>16.967857142857138</v>
      </c>
      <c r="K177" s="39"/>
      <c r="L177" t="s">
        <v>1367</v>
      </c>
      <c r="M177" s="39">
        <f t="shared" si="51"/>
        <v>20.056632653061222</v>
      </c>
      <c r="N177" s="39">
        <f t="shared" si="51"/>
        <v>15.406632653061219</v>
      </c>
      <c r="O177" s="39">
        <f t="shared" si="51"/>
        <v>20.767346938775503</v>
      </c>
      <c r="P177" s="39">
        <f t="shared" si="51"/>
        <v>16.77448979591836</v>
      </c>
      <c r="Q177" s="39">
        <f t="shared" si="51"/>
        <v>15.299489795918364</v>
      </c>
      <c r="R177" s="39">
        <f t="shared" si="51"/>
        <v>17.535204081632653</v>
      </c>
      <c r="S177" s="39">
        <f t="shared" si="51"/>
        <v>12.935204081632651</v>
      </c>
    </row>
    <row r="178" spans="1:19">
      <c r="B178" t="s">
        <v>1368</v>
      </c>
      <c r="C178" s="39">
        <v>16.7</v>
      </c>
      <c r="D178" s="39">
        <v>12.899999999999999</v>
      </c>
      <c r="E178" s="39">
        <v>15.3</v>
      </c>
      <c r="F178" s="39">
        <v>14.5</v>
      </c>
      <c r="G178" s="39">
        <v>15.2</v>
      </c>
      <c r="H178" s="39">
        <v>17</v>
      </c>
      <c r="I178" s="39">
        <v>11.3</v>
      </c>
      <c r="J178" s="39">
        <f>AVERAGE(C178:I178,G174:G180)</f>
        <v>15.492857142857142</v>
      </c>
      <c r="K178" s="39"/>
      <c r="L178" t="s">
        <v>1368</v>
      </c>
      <c r="M178" s="39">
        <f t="shared" si="51"/>
        <v>18.581632653061227</v>
      </c>
      <c r="N178" s="39">
        <f t="shared" si="51"/>
        <v>13.931632653061223</v>
      </c>
      <c r="O178" s="39">
        <f t="shared" si="51"/>
        <v>19.292346938775509</v>
      </c>
      <c r="P178" s="39">
        <f t="shared" si="51"/>
        <v>15.299489795918364</v>
      </c>
      <c r="Q178" s="39">
        <f t="shared" si="51"/>
        <v>13.824489795918367</v>
      </c>
      <c r="R178" s="39">
        <f t="shared" si="51"/>
        <v>16.060204081632655</v>
      </c>
      <c r="S178" s="39">
        <f t="shared" si="51"/>
        <v>11.460204081632655</v>
      </c>
    </row>
    <row r="179" spans="1:19">
      <c r="B179" t="s">
        <v>624</v>
      </c>
      <c r="C179" s="39">
        <v>21.799999999999997</v>
      </c>
      <c r="D179" s="39">
        <v>14.1</v>
      </c>
      <c r="E179" s="39">
        <v>16.700000000000003</v>
      </c>
      <c r="F179" s="39">
        <v>19.600000000000001</v>
      </c>
      <c r="G179" s="39">
        <v>15.8</v>
      </c>
      <c r="H179" s="39">
        <v>21.4</v>
      </c>
      <c r="I179" s="39">
        <v>9.6</v>
      </c>
      <c r="J179" s="39">
        <f>AVERAGE(C179:I179,H174:H180)</f>
        <v>17.728571428571431</v>
      </c>
      <c r="K179" s="39"/>
      <c r="L179" t="s">
        <v>624</v>
      </c>
      <c r="M179" s="39">
        <f t="shared" si="51"/>
        <v>20.817346938775515</v>
      </c>
      <c r="N179" s="39">
        <f t="shared" si="51"/>
        <v>16.167346938775513</v>
      </c>
      <c r="O179" s="39">
        <f t="shared" si="51"/>
        <v>21.528061224489797</v>
      </c>
      <c r="P179" s="39">
        <f t="shared" si="51"/>
        <v>17.535204081632653</v>
      </c>
      <c r="Q179" s="39">
        <f t="shared" si="51"/>
        <v>16.060204081632655</v>
      </c>
      <c r="R179" s="39">
        <f t="shared" si="51"/>
        <v>18.295918367346946</v>
      </c>
      <c r="S179" s="39">
        <f t="shared" si="51"/>
        <v>13.695918367346945</v>
      </c>
    </row>
    <row r="180" spans="1:19">
      <c r="B180" t="s">
        <v>1357</v>
      </c>
      <c r="C180" s="39">
        <v>15.3</v>
      </c>
      <c r="D180" s="39">
        <v>10.7</v>
      </c>
      <c r="E180" s="39">
        <v>14.899999999999999</v>
      </c>
      <c r="F180" s="39">
        <v>14.100000000000001</v>
      </c>
      <c r="G180" s="39">
        <v>15.6</v>
      </c>
      <c r="H180" s="39">
        <v>13.3</v>
      </c>
      <c r="I180" s="39">
        <v>11</v>
      </c>
      <c r="J180" s="39">
        <f>AVERAGE(C180:I180,I174:I180)</f>
        <v>13.12857142857143</v>
      </c>
      <c r="K180" s="39"/>
      <c r="L180" t="s">
        <v>1357</v>
      </c>
      <c r="M180" s="39">
        <f t="shared" si="51"/>
        <v>16.217346938775513</v>
      </c>
      <c r="N180" s="39">
        <f t="shared" si="51"/>
        <v>11.567346938775511</v>
      </c>
      <c r="O180" s="39">
        <f t="shared" si="51"/>
        <v>16.928061224489795</v>
      </c>
      <c r="P180" s="39">
        <f t="shared" si="51"/>
        <v>12.935204081632651</v>
      </c>
      <c r="Q180" s="39">
        <f t="shared" si="51"/>
        <v>11.460204081632655</v>
      </c>
      <c r="R180" s="39">
        <f t="shared" si="51"/>
        <v>13.695918367346945</v>
      </c>
      <c r="S180" s="39">
        <f t="shared" si="51"/>
        <v>9.0959183673469433</v>
      </c>
    </row>
    <row r="181" spans="1:19">
      <c r="B181" t="s">
        <v>1370</v>
      </c>
      <c r="I181" s="39">
        <f>AVERAGE(C174:I180)</f>
        <v>17.161224489795917</v>
      </c>
      <c r="J181" s="39">
        <f>AVERAGE(C174:I180)</f>
        <v>17.161224489795917</v>
      </c>
      <c r="K181" s="39"/>
      <c r="L181" t="s">
        <v>672</v>
      </c>
      <c r="M181" s="13">
        <f>CORREL(C174:I180,M174:S180)</f>
        <v>0.77358642961063662</v>
      </c>
    </row>
    <row r="182" spans="1:19">
      <c r="B182" t="s">
        <v>1371</v>
      </c>
      <c r="C182" t="s">
        <v>1364</v>
      </c>
      <c r="D182" t="s">
        <v>1365</v>
      </c>
      <c r="E182" t="s">
        <v>1366</v>
      </c>
      <c r="F182" t="s">
        <v>1367</v>
      </c>
      <c r="G182" t="s">
        <v>1368</v>
      </c>
      <c r="H182" t="s">
        <v>624</v>
      </c>
      <c r="I182" t="s">
        <v>1357</v>
      </c>
      <c r="J182" t="s">
        <v>1372</v>
      </c>
    </row>
    <row r="183" spans="1:19">
      <c r="B183" t="s">
        <v>1364</v>
      </c>
      <c r="C183" s="39">
        <f>C174-$J$181-$J183-C$190</f>
        <v>0.16122448979591653</v>
      </c>
      <c r="D183" s="39">
        <f t="shared" ref="D183:I183" si="52">D174-$J$181-$J183-D$190</f>
        <v>-3.3887755102040806</v>
      </c>
      <c r="E183" s="39">
        <f t="shared" si="52"/>
        <v>4.9505102040816347</v>
      </c>
      <c r="F183" s="39">
        <f t="shared" si="52"/>
        <v>2.0433673469387799</v>
      </c>
      <c r="G183" s="39">
        <f t="shared" si="52"/>
        <v>0.66836734693877453</v>
      </c>
      <c r="H183" s="39">
        <f t="shared" si="52"/>
        <v>-4.3173469387755148</v>
      </c>
      <c r="I183" s="39">
        <f t="shared" si="52"/>
        <v>0.28265306122448663</v>
      </c>
      <c r="J183" s="39">
        <f>J174-$J$181</f>
        <v>3.0887755102040835</v>
      </c>
      <c r="L183" t="s">
        <v>515</v>
      </c>
      <c r="M183" t="s">
        <v>1358</v>
      </c>
    </row>
    <row r="184" spans="1:19">
      <c r="B184" t="s">
        <v>1365</v>
      </c>
      <c r="C184" s="39">
        <f t="shared" ref="C184:I189" si="53">C175-$J$181-$J184-C$190</f>
        <v>-2.7387755102040821</v>
      </c>
      <c r="D184" s="39">
        <f t="shared" si="53"/>
        <v>3.9612244897959208</v>
      </c>
      <c r="E184" s="39">
        <f t="shared" si="53"/>
        <v>-4.6994897959183639</v>
      </c>
      <c r="F184" s="39">
        <f t="shared" si="53"/>
        <v>3.193367346938782</v>
      </c>
      <c r="G184" s="39">
        <f t="shared" si="53"/>
        <v>1.3183673469387767</v>
      </c>
      <c r="H184" s="39">
        <f t="shared" si="53"/>
        <v>-6.7346938775511234E-2</v>
      </c>
      <c r="I184" s="39">
        <f t="shared" si="53"/>
        <v>3.0326530612244902</v>
      </c>
      <c r="J184" s="39">
        <f t="shared" ref="J184:J189" si="54">J175-$J$181</f>
        <v>-1.5612244897959187</v>
      </c>
      <c r="K184" t="s">
        <v>160</v>
      </c>
      <c r="L184" s="39">
        <f>C174</f>
        <v>23.5</v>
      </c>
      <c r="M184" s="39">
        <f>M174</f>
        <v>23.338775510204083</v>
      </c>
    </row>
    <row r="185" spans="1:19">
      <c r="B185" t="s">
        <v>1366</v>
      </c>
      <c r="C185" s="39">
        <f t="shared" si="53"/>
        <v>7.0505102040816361</v>
      </c>
      <c r="D185" s="39">
        <f t="shared" si="53"/>
        <v>2.6005102040816368</v>
      </c>
      <c r="E185" s="39">
        <f t="shared" si="53"/>
        <v>-1.7602040816326472</v>
      </c>
      <c r="F185" s="39">
        <f t="shared" si="53"/>
        <v>4.2326530612244966</v>
      </c>
      <c r="G185" s="39">
        <f t="shared" si="53"/>
        <v>0.3076530612244941</v>
      </c>
      <c r="H185" s="39">
        <f t="shared" si="53"/>
        <v>7.5719387755102048</v>
      </c>
      <c r="I185" s="39">
        <f t="shared" si="53"/>
        <v>-3.4280612244897952</v>
      </c>
      <c r="J185" s="39">
        <f t="shared" si="54"/>
        <v>3.7994897959183653</v>
      </c>
      <c r="K185" t="s">
        <v>161</v>
      </c>
      <c r="L185" s="39">
        <f t="shared" ref="L185:L190" si="55">C175</f>
        <v>15.95</v>
      </c>
      <c r="M185" s="39">
        <f t="shared" ref="M185:M190" si="56">M175</f>
        <v>18.688775510204081</v>
      </c>
    </row>
    <row r="186" spans="1:19">
      <c r="B186" t="s">
        <v>1367</v>
      </c>
      <c r="C186" s="39">
        <f t="shared" si="53"/>
        <v>-3.0566326530612216</v>
      </c>
      <c r="D186" s="39">
        <f t="shared" si="53"/>
        <v>-3.2066326530612201</v>
      </c>
      <c r="E186" s="39">
        <f t="shared" si="53"/>
        <v>-4.2173469387755027</v>
      </c>
      <c r="F186" s="39">
        <f t="shared" si="53"/>
        <v>1.4255102040816396</v>
      </c>
      <c r="G186" s="39">
        <f t="shared" si="53"/>
        <v>-1.9994897959183628</v>
      </c>
      <c r="H186" s="39">
        <f t="shared" si="53"/>
        <v>-1.7352040816326522</v>
      </c>
      <c r="I186" s="39">
        <f t="shared" si="53"/>
        <v>-0.53520408163265287</v>
      </c>
      <c r="J186" s="39">
        <f t="shared" si="54"/>
        <v>-0.19336734693877844</v>
      </c>
      <c r="K186" t="s">
        <v>507</v>
      </c>
      <c r="L186" s="39">
        <f t="shared" si="55"/>
        <v>31.1</v>
      </c>
      <c r="M186" s="39">
        <f t="shared" si="56"/>
        <v>24.049489795918365</v>
      </c>
    </row>
    <row r="187" spans="1:19">
      <c r="B187" t="s">
        <v>1368</v>
      </c>
      <c r="C187" s="39">
        <f t="shared" si="53"/>
        <v>-1.8816326530612262</v>
      </c>
      <c r="D187" s="39">
        <f t="shared" si="53"/>
        <v>-1.0316326530612248</v>
      </c>
      <c r="E187" s="39">
        <f t="shared" si="53"/>
        <v>-3.9923469387755066</v>
      </c>
      <c r="F187" s="39">
        <f t="shared" si="53"/>
        <v>-0.79948979591836355</v>
      </c>
      <c r="G187" s="39">
        <f t="shared" si="53"/>
        <v>1.3755102040816318</v>
      </c>
      <c r="H187" s="39">
        <f t="shared" si="53"/>
        <v>0.93979591836734322</v>
      </c>
      <c r="I187" s="39">
        <f t="shared" si="53"/>
        <v>-0.16020408163265465</v>
      </c>
      <c r="J187" s="39">
        <f t="shared" si="54"/>
        <v>-1.6683673469387745</v>
      </c>
      <c r="K187" t="s">
        <v>213</v>
      </c>
      <c r="L187" s="39">
        <f t="shared" si="55"/>
        <v>17</v>
      </c>
      <c r="M187" s="39">
        <f t="shared" si="56"/>
        <v>20.056632653061222</v>
      </c>
    </row>
    <row r="188" spans="1:19">
      <c r="B188" t="s">
        <v>624</v>
      </c>
      <c r="C188" s="39">
        <f t="shared" si="53"/>
        <v>0.98265306122448237</v>
      </c>
      <c r="D188" s="39">
        <f t="shared" si="53"/>
        <v>-2.067346938775513</v>
      </c>
      <c r="E188" s="39">
        <f t="shared" si="53"/>
        <v>-4.8280612244897938</v>
      </c>
      <c r="F188" s="39">
        <f t="shared" si="53"/>
        <v>2.0647959183673485</v>
      </c>
      <c r="G188" s="39">
        <f t="shared" si="53"/>
        <v>-0.26020408163265607</v>
      </c>
      <c r="H188" s="39">
        <f t="shared" si="53"/>
        <v>3.1040816326530525</v>
      </c>
      <c r="I188" s="39">
        <f t="shared" si="53"/>
        <v>-4.095918367346945</v>
      </c>
      <c r="J188" s="39">
        <f t="shared" si="54"/>
        <v>0.56734693877551479</v>
      </c>
      <c r="K188" t="s">
        <v>146</v>
      </c>
      <c r="L188" s="39">
        <f t="shared" si="55"/>
        <v>16.7</v>
      </c>
      <c r="M188" s="39">
        <f t="shared" si="56"/>
        <v>18.581632653061227</v>
      </c>
    </row>
    <row r="189" spans="1:19">
      <c r="B189" t="s">
        <v>1357</v>
      </c>
      <c r="C189" s="39">
        <f t="shared" si="53"/>
        <v>-0.91734693877551265</v>
      </c>
      <c r="D189" s="39">
        <f t="shared" si="53"/>
        <v>-0.86734693877551194</v>
      </c>
      <c r="E189" s="39">
        <f t="shared" si="53"/>
        <v>-2.0280612244897966</v>
      </c>
      <c r="F189" s="39">
        <f t="shared" si="53"/>
        <v>1.16479591836735</v>
      </c>
      <c r="G189" s="39">
        <f t="shared" si="53"/>
        <v>4.1397959183673443</v>
      </c>
      <c r="H189" s="39">
        <f t="shared" si="53"/>
        <v>-0.39591836734694397</v>
      </c>
      <c r="I189" s="39">
        <f t="shared" si="53"/>
        <v>1.9040816326530567</v>
      </c>
      <c r="J189" s="39">
        <f t="shared" si="54"/>
        <v>-4.0326530612244866</v>
      </c>
      <c r="K189" t="s">
        <v>456</v>
      </c>
      <c r="L189" s="39">
        <f t="shared" si="55"/>
        <v>21.799999999999997</v>
      </c>
      <c r="M189" s="39">
        <f t="shared" si="56"/>
        <v>20.817346938775515</v>
      </c>
    </row>
    <row r="190" spans="1:19">
      <c r="B190" t="s">
        <v>1372</v>
      </c>
      <c r="C190" s="39">
        <f>J183</f>
        <v>3.0887755102040835</v>
      </c>
      <c r="D190" s="39">
        <f>J184</f>
        <v>-1.5612244897959187</v>
      </c>
      <c r="E190" s="39">
        <f>J185</f>
        <v>3.7994897959183653</v>
      </c>
      <c r="F190" s="39">
        <f>J186</f>
        <v>-0.19336734693877844</v>
      </c>
      <c r="G190" s="39">
        <f>J187</f>
        <v>-1.6683673469387745</v>
      </c>
      <c r="H190" s="39">
        <f>J188</f>
        <v>0.56734693877551479</v>
      </c>
      <c r="I190" s="39">
        <f>J189</f>
        <v>-4.0326530612244866</v>
      </c>
      <c r="J190" s="39">
        <f>SUM(C184:I184,D183:D189)</f>
        <v>1.9539925233402755E-14</v>
      </c>
      <c r="K190" t="s">
        <v>1357</v>
      </c>
      <c r="L190" s="39">
        <f t="shared" si="55"/>
        <v>15.3</v>
      </c>
      <c r="M190" s="39">
        <f t="shared" si="56"/>
        <v>16.217346938775513</v>
      </c>
    </row>
    <row r="191" spans="1:19">
      <c r="A191" t="s">
        <v>1926</v>
      </c>
      <c r="K191" t="s">
        <v>160</v>
      </c>
      <c r="L191" s="39">
        <f t="shared" ref="L191:L197" si="57">D174</f>
        <v>15.3</v>
      </c>
      <c r="M191" s="39">
        <f t="shared" ref="M191:M197" si="58">N174</f>
        <v>18.688775510204081</v>
      </c>
    </row>
    <row r="192" spans="1:19">
      <c r="K192" t="s">
        <v>161</v>
      </c>
      <c r="L192" s="39">
        <f t="shared" si="57"/>
        <v>18</v>
      </c>
      <c r="M192" s="39">
        <f t="shared" si="58"/>
        <v>14.038775510204079</v>
      </c>
    </row>
    <row r="193" spans="11:13">
      <c r="K193" t="s">
        <v>507</v>
      </c>
      <c r="L193" s="39">
        <f t="shared" si="57"/>
        <v>22</v>
      </c>
      <c r="M193" s="39">
        <f t="shared" si="58"/>
        <v>19.399489795918363</v>
      </c>
    </row>
    <row r="194" spans="11:13">
      <c r="K194" t="s">
        <v>213</v>
      </c>
      <c r="L194" s="39">
        <f t="shared" si="57"/>
        <v>12.2</v>
      </c>
      <c r="M194" s="39">
        <f t="shared" si="58"/>
        <v>15.406632653061219</v>
      </c>
    </row>
    <row r="195" spans="11:13">
      <c r="K195" t="s">
        <v>146</v>
      </c>
      <c r="L195" s="39">
        <f t="shared" si="57"/>
        <v>12.899999999999999</v>
      </c>
      <c r="M195" s="39">
        <f t="shared" si="58"/>
        <v>13.931632653061223</v>
      </c>
    </row>
    <row r="196" spans="11:13">
      <c r="K196" t="s">
        <v>456</v>
      </c>
      <c r="L196" s="39">
        <f t="shared" si="57"/>
        <v>14.1</v>
      </c>
      <c r="M196" s="39">
        <f t="shared" si="58"/>
        <v>16.167346938775513</v>
      </c>
    </row>
    <row r="197" spans="11:13">
      <c r="K197" t="s">
        <v>1357</v>
      </c>
      <c r="L197" s="39">
        <f t="shared" si="57"/>
        <v>10.7</v>
      </c>
      <c r="M197" s="39">
        <f t="shared" si="58"/>
        <v>11.567346938775511</v>
      </c>
    </row>
    <row r="198" spans="11:13">
      <c r="K198" t="s">
        <v>160</v>
      </c>
      <c r="L198" s="39">
        <f t="shared" ref="L198:L204" si="59">E174</f>
        <v>29</v>
      </c>
      <c r="M198" s="39">
        <f t="shared" ref="M198:M204" si="60">O174</f>
        <v>24.049489795918365</v>
      </c>
    </row>
    <row r="199" spans="11:13">
      <c r="K199" t="s">
        <v>161</v>
      </c>
      <c r="L199" s="39">
        <f t="shared" si="59"/>
        <v>14.7</v>
      </c>
      <c r="M199" s="39">
        <f t="shared" si="60"/>
        <v>19.399489795918363</v>
      </c>
    </row>
    <row r="200" spans="11:13">
      <c r="K200" t="s">
        <v>507</v>
      </c>
      <c r="L200" s="39">
        <f t="shared" si="59"/>
        <v>23</v>
      </c>
      <c r="M200" s="39">
        <f t="shared" si="60"/>
        <v>24.760204081632647</v>
      </c>
    </row>
    <row r="201" spans="11:13">
      <c r="K201" t="s">
        <v>213</v>
      </c>
      <c r="L201" s="39">
        <f t="shared" si="59"/>
        <v>16.55</v>
      </c>
      <c r="M201" s="39">
        <f t="shared" si="60"/>
        <v>20.767346938775503</v>
      </c>
    </row>
    <row r="202" spans="11:13">
      <c r="K202" t="s">
        <v>146</v>
      </c>
      <c r="L202" s="39">
        <f t="shared" si="59"/>
        <v>15.3</v>
      </c>
      <c r="M202" s="39">
        <f t="shared" si="60"/>
        <v>19.292346938775509</v>
      </c>
    </row>
    <row r="203" spans="11:13">
      <c r="K203" t="s">
        <v>456</v>
      </c>
      <c r="L203" s="39">
        <f t="shared" si="59"/>
        <v>16.700000000000003</v>
      </c>
      <c r="M203" s="39">
        <f t="shared" si="60"/>
        <v>21.528061224489797</v>
      </c>
    </row>
    <row r="204" spans="11:13">
      <c r="K204" t="s">
        <v>1357</v>
      </c>
      <c r="L204" s="39">
        <f t="shared" si="59"/>
        <v>14.899999999999999</v>
      </c>
      <c r="M204" s="39">
        <f t="shared" si="60"/>
        <v>16.928061224489795</v>
      </c>
    </row>
    <row r="205" spans="11:13">
      <c r="K205" t="s">
        <v>160</v>
      </c>
      <c r="L205" s="39">
        <f t="shared" ref="L205:L211" si="61">F174</f>
        <v>22.1</v>
      </c>
      <c r="M205" s="39">
        <f t="shared" ref="M205:M211" si="62">P174</f>
        <v>20.056632653061222</v>
      </c>
    </row>
    <row r="206" spans="11:13">
      <c r="K206" t="s">
        <v>161</v>
      </c>
      <c r="L206" s="39">
        <f t="shared" si="61"/>
        <v>18.600000000000001</v>
      </c>
      <c r="M206" s="39">
        <f t="shared" si="62"/>
        <v>15.406632653061219</v>
      </c>
    </row>
    <row r="207" spans="11:13">
      <c r="K207" t="s">
        <v>507</v>
      </c>
      <c r="L207" s="39">
        <f t="shared" si="61"/>
        <v>25</v>
      </c>
      <c r="M207" s="39">
        <f t="shared" si="62"/>
        <v>20.767346938775503</v>
      </c>
    </row>
    <row r="208" spans="11:13">
      <c r="K208" t="s">
        <v>213</v>
      </c>
      <c r="L208" s="39">
        <f t="shared" si="61"/>
        <v>18.2</v>
      </c>
      <c r="M208" s="39">
        <f t="shared" si="62"/>
        <v>16.77448979591836</v>
      </c>
    </row>
    <row r="209" spans="11:13">
      <c r="K209" t="s">
        <v>146</v>
      </c>
      <c r="L209" s="39">
        <f t="shared" si="61"/>
        <v>14.5</v>
      </c>
      <c r="M209" s="39">
        <f t="shared" si="62"/>
        <v>15.299489795918364</v>
      </c>
    </row>
    <row r="210" spans="11:13">
      <c r="K210" t="s">
        <v>456</v>
      </c>
      <c r="L210" s="39">
        <f t="shared" si="61"/>
        <v>19.600000000000001</v>
      </c>
      <c r="M210" s="39">
        <f t="shared" si="62"/>
        <v>17.535204081632653</v>
      </c>
    </row>
    <row r="211" spans="11:13">
      <c r="K211" t="s">
        <v>1357</v>
      </c>
      <c r="L211" s="39">
        <f t="shared" si="61"/>
        <v>14.100000000000001</v>
      </c>
      <c r="M211" s="39">
        <f t="shared" si="62"/>
        <v>12.935204081632651</v>
      </c>
    </row>
    <row r="212" spans="11:13">
      <c r="K212" t="s">
        <v>160</v>
      </c>
      <c r="L212" s="39">
        <f t="shared" ref="L212:L218" si="63">G174</f>
        <v>19.25</v>
      </c>
      <c r="M212" s="39">
        <f t="shared" ref="M212:M218" si="64">Q174</f>
        <v>18.581632653061227</v>
      </c>
    </row>
    <row r="213" spans="11:13">
      <c r="K213" t="s">
        <v>161</v>
      </c>
      <c r="L213" s="39">
        <f t="shared" si="63"/>
        <v>15.25</v>
      </c>
      <c r="M213" s="39">
        <f t="shared" si="64"/>
        <v>13.931632653061223</v>
      </c>
    </row>
    <row r="214" spans="11:13">
      <c r="K214" t="s">
        <v>507</v>
      </c>
      <c r="L214" s="39">
        <f t="shared" si="63"/>
        <v>19.600000000000001</v>
      </c>
      <c r="M214" s="39">
        <f t="shared" si="64"/>
        <v>19.292346938775509</v>
      </c>
    </row>
    <row r="215" spans="11:13">
      <c r="K215" t="s">
        <v>213</v>
      </c>
      <c r="L215" s="39">
        <f t="shared" si="63"/>
        <v>13.3</v>
      </c>
      <c r="M215" s="39">
        <f t="shared" si="64"/>
        <v>15.299489795918364</v>
      </c>
    </row>
    <row r="216" spans="11:13">
      <c r="K216" t="s">
        <v>146</v>
      </c>
      <c r="L216" s="39">
        <f t="shared" si="63"/>
        <v>15.2</v>
      </c>
      <c r="M216" s="39">
        <f t="shared" si="64"/>
        <v>13.824489795918367</v>
      </c>
    </row>
    <row r="217" spans="11:13">
      <c r="K217" t="s">
        <v>456</v>
      </c>
      <c r="L217" s="39">
        <f t="shared" si="63"/>
        <v>15.8</v>
      </c>
      <c r="M217" s="39">
        <f t="shared" si="64"/>
        <v>16.060204081632655</v>
      </c>
    </row>
    <row r="218" spans="11:13">
      <c r="K218" t="s">
        <v>1357</v>
      </c>
      <c r="L218" s="39">
        <f t="shared" si="63"/>
        <v>15.6</v>
      </c>
      <c r="M218" s="39">
        <f t="shared" si="64"/>
        <v>11.460204081632655</v>
      </c>
    </row>
    <row r="219" spans="11:13">
      <c r="K219" t="s">
        <v>160</v>
      </c>
      <c r="L219" s="39">
        <f t="shared" ref="L219:L224" si="65">H174</f>
        <v>16.5</v>
      </c>
      <c r="M219" s="39">
        <f t="shared" ref="M219:M225" si="66">R174</f>
        <v>20.817346938775515</v>
      </c>
    </row>
    <row r="220" spans="11:13">
      <c r="K220" t="s">
        <v>161</v>
      </c>
      <c r="L220" s="39">
        <f t="shared" si="65"/>
        <v>16.100000000000001</v>
      </c>
      <c r="M220" s="39">
        <f t="shared" si="66"/>
        <v>16.167346938775513</v>
      </c>
    </row>
    <row r="221" spans="11:13">
      <c r="K221" t="s">
        <v>507</v>
      </c>
      <c r="L221" s="39">
        <f t="shared" si="65"/>
        <v>29.1</v>
      </c>
      <c r="M221" s="39">
        <f t="shared" si="66"/>
        <v>21.528061224489797</v>
      </c>
    </row>
    <row r="222" spans="11:13">
      <c r="K222" t="s">
        <v>213</v>
      </c>
      <c r="L222" s="39">
        <f t="shared" si="65"/>
        <v>15.8</v>
      </c>
      <c r="M222" s="39">
        <f t="shared" si="66"/>
        <v>17.535204081632653</v>
      </c>
    </row>
    <row r="223" spans="11:13">
      <c r="K223" t="s">
        <v>146</v>
      </c>
      <c r="L223" s="39">
        <f t="shared" si="65"/>
        <v>17</v>
      </c>
      <c r="M223" s="39">
        <f t="shared" si="66"/>
        <v>16.060204081632655</v>
      </c>
    </row>
    <row r="224" spans="11:13">
      <c r="K224" t="s">
        <v>456</v>
      </c>
      <c r="L224" s="39">
        <f t="shared" si="65"/>
        <v>21.4</v>
      </c>
      <c r="M224" s="39">
        <f t="shared" si="66"/>
        <v>18.295918367346946</v>
      </c>
    </row>
    <row r="225" spans="1:19">
      <c r="K225" t="s">
        <v>1357</v>
      </c>
      <c r="L225" s="39">
        <f>H180</f>
        <v>13.3</v>
      </c>
      <c r="M225" s="39">
        <f t="shared" si="66"/>
        <v>13.695918367346945</v>
      </c>
    </row>
    <row r="226" spans="1:19">
      <c r="K226" t="s">
        <v>160</v>
      </c>
      <c r="L226" s="39">
        <f>I174</f>
        <v>16.5</v>
      </c>
      <c r="M226" s="39">
        <f>S174</f>
        <v>16.217346938775513</v>
      </c>
    </row>
    <row r="227" spans="1:19">
      <c r="K227" t="s">
        <v>161</v>
      </c>
      <c r="L227" s="39">
        <f t="shared" ref="L227:L231" si="67">I175</f>
        <v>14.600000000000001</v>
      </c>
      <c r="M227" s="39">
        <f t="shared" ref="M227:M232" si="68">S175</f>
        <v>11.567346938775511</v>
      </c>
    </row>
    <row r="228" spans="1:19">
      <c r="K228" t="s">
        <v>507</v>
      </c>
      <c r="L228" s="39">
        <f t="shared" si="67"/>
        <v>13.5</v>
      </c>
      <c r="M228" s="39">
        <f t="shared" si="68"/>
        <v>16.928061224489795</v>
      </c>
    </row>
    <row r="229" spans="1:19">
      <c r="K229" t="s">
        <v>213</v>
      </c>
      <c r="L229" s="39">
        <f t="shared" si="67"/>
        <v>12.399999999999999</v>
      </c>
      <c r="M229" s="39">
        <f t="shared" si="68"/>
        <v>12.935204081632651</v>
      </c>
    </row>
    <row r="230" spans="1:19">
      <c r="K230" t="s">
        <v>146</v>
      </c>
      <c r="L230" s="39">
        <f t="shared" si="67"/>
        <v>11.3</v>
      </c>
      <c r="M230" s="39">
        <f t="shared" si="68"/>
        <v>11.460204081632655</v>
      </c>
    </row>
    <row r="231" spans="1:19">
      <c r="K231" t="s">
        <v>456</v>
      </c>
      <c r="L231" s="39">
        <f t="shared" si="67"/>
        <v>9.6</v>
      </c>
      <c r="M231" s="39">
        <f t="shared" si="68"/>
        <v>13.695918367346945</v>
      </c>
    </row>
    <row r="232" spans="1:19">
      <c r="K232" t="s">
        <v>1357</v>
      </c>
      <c r="L232" s="39">
        <f>I180</f>
        <v>11</v>
      </c>
      <c r="M232" s="39">
        <f t="shared" si="68"/>
        <v>9.0959183673469433</v>
      </c>
    </row>
    <row r="233" spans="1:19">
      <c r="K233" t="s">
        <v>672</v>
      </c>
      <c r="L233" s="13">
        <f>CORREL(L184:L232,M184:M232)</f>
        <v>0.77358642961063628</v>
      </c>
      <c r="M233" s="39"/>
    </row>
    <row r="235" spans="1:19">
      <c r="A235" s="11" t="s">
        <v>1373</v>
      </c>
      <c r="B235" t="s">
        <v>1363</v>
      </c>
      <c r="C235" t="s">
        <v>1364</v>
      </c>
      <c r="D235" t="s">
        <v>1365</v>
      </c>
      <c r="E235" t="s">
        <v>1366</v>
      </c>
      <c r="F235" t="s">
        <v>1367</v>
      </c>
      <c r="G235" t="s">
        <v>1368</v>
      </c>
      <c r="H235" t="s">
        <v>624</v>
      </c>
      <c r="I235" t="s">
        <v>1357</v>
      </c>
      <c r="J235" t="s">
        <v>1369</v>
      </c>
      <c r="L235" t="s">
        <v>1358</v>
      </c>
      <c r="M235" t="s">
        <v>1364</v>
      </c>
      <c r="N235" t="s">
        <v>1365</v>
      </c>
      <c r="O235" t="s">
        <v>1366</v>
      </c>
      <c r="P235" t="s">
        <v>1367</v>
      </c>
      <c r="Q235" t="s">
        <v>1368</v>
      </c>
      <c r="R235" t="s">
        <v>624</v>
      </c>
      <c r="S235" t="s">
        <v>1357</v>
      </c>
    </row>
    <row r="236" spans="1:19">
      <c r="B236" t="s">
        <v>1364</v>
      </c>
      <c r="C236" s="39"/>
      <c r="D236" s="39">
        <v>15.3</v>
      </c>
      <c r="E236" s="39">
        <v>29</v>
      </c>
      <c r="F236" s="39">
        <v>22.1</v>
      </c>
      <c r="G236" s="39">
        <v>19.25</v>
      </c>
      <c r="H236" s="39">
        <v>16.5</v>
      </c>
      <c r="I236" s="39">
        <v>16.5</v>
      </c>
      <c r="J236" s="39">
        <f>AVERAGE(C236:I236,C236:C242)</f>
        <v>19.708333333333332</v>
      </c>
      <c r="L236" t="s">
        <v>1364</v>
      </c>
      <c r="M236" s="39"/>
      <c r="N236" s="39">
        <f t="shared" ref="N236:S236" si="69">$J$243+$J245+D$252</f>
        <v>18.20333333333333</v>
      </c>
      <c r="O236" s="39">
        <f t="shared" si="69"/>
        <v>24.708333333333332</v>
      </c>
      <c r="P236" s="39">
        <f t="shared" si="69"/>
        <v>20.078333333333333</v>
      </c>
      <c r="Q236" s="39">
        <f t="shared" si="69"/>
        <v>18.613333333333337</v>
      </c>
      <c r="R236" s="39">
        <f t="shared" si="69"/>
        <v>20.503333333333334</v>
      </c>
      <c r="S236" s="39">
        <f t="shared" si="69"/>
        <v>16.143333333333334</v>
      </c>
    </row>
    <row r="237" spans="1:19">
      <c r="B237" t="s">
        <v>1365</v>
      </c>
      <c r="C237" s="39">
        <v>15.95</v>
      </c>
      <c r="D237" s="39"/>
      <c r="E237" s="39">
        <v>14.7</v>
      </c>
      <c r="F237" s="39">
        <v>18.600000000000001</v>
      </c>
      <c r="G237" s="39">
        <v>15.25</v>
      </c>
      <c r="H237" s="39">
        <v>16.100000000000001</v>
      </c>
      <c r="I237" s="39">
        <v>14.600000000000001</v>
      </c>
      <c r="J237" s="39">
        <f>AVERAGE(C237:I237,D236:D242)</f>
        <v>15.199999999999998</v>
      </c>
      <c r="L237" t="s">
        <v>1365</v>
      </c>
      <c r="M237" s="39">
        <f t="shared" ref="M237:M242" si="70">$J$243+$J246+C$252</f>
        <v>18.20333333333333</v>
      </c>
      <c r="N237" s="39"/>
      <c r="O237" s="39">
        <f>$J$243+$J246+E$252</f>
        <v>19.298333333333332</v>
      </c>
      <c r="P237" s="39">
        <f>$J$243+$J246+F$252</f>
        <v>14.668333333333331</v>
      </c>
      <c r="Q237" s="39">
        <f>$J$243+$J246+G$252</f>
        <v>13.203333333333337</v>
      </c>
      <c r="R237" s="39">
        <f>$J$243+$J246+H$252</f>
        <v>15.093333333333334</v>
      </c>
      <c r="S237" s="39">
        <f>$J$243+$J246+I$252</f>
        <v>10.733333333333334</v>
      </c>
    </row>
    <row r="238" spans="1:19">
      <c r="B238" t="s">
        <v>1366</v>
      </c>
      <c r="C238" s="39">
        <v>31.1</v>
      </c>
      <c r="D238" s="39">
        <v>22</v>
      </c>
      <c r="E238" s="39"/>
      <c r="F238" s="39">
        <v>25</v>
      </c>
      <c r="G238" s="39">
        <v>19.600000000000001</v>
      </c>
      <c r="H238" s="39">
        <v>29.1</v>
      </c>
      <c r="I238" s="39">
        <v>13.5</v>
      </c>
      <c r="J238" s="39">
        <f>AVERAGE(C238:I238,E236:E242)</f>
        <v>20.620833333333334</v>
      </c>
      <c r="L238" t="s">
        <v>1366</v>
      </c>
      <c r="M238" s="39">
        <f t="shared" si="70"/>
        <v>24.708333333333332</v>
      </c>
      <c r="N238" s="39">
        <f>$J$243+$J247+D$252</f>
        <v>19.298333333333332</v>
      </c>
      <c r="O238" s="39"/>
      <c r="P238" s="39">
        <f>$J$243+$J247+F$252</f>
        <v>21.173333333333336</v>
      </c>
      <c r="Q238" s="39">
        <f>$J$243+$J247+G$252</f>
        <v>19.708333333333339</v>
      </c>
      <c r="R238" s="39">
        <f>$J$243+$J247+H$252</f>
        <v>21.598333333333336</v>
      </c>
      <c r="S238" s="39">
        <f>$J$243+$J247+I$252</f>
        <v>17.238333333333337</v>
      </c>
    </row>
    <row r="239" spans="1:19">
      <c r="B239" t="s">
        <v>1367</v>
      </c>
      <c r="C239" s="39">
        <v>17</v>
      </c>
      <c r="D239" s="39">
        <v>12.2</v>
      </c>
      <c r="E239" s="39">
        <v>16.55</v>
      </c>
      <c r="F239" s="39"/>
      <c r="G239" s="39">
        <v>13.3</v>
      </c>
      <c r="H239" s="39">
        <v>15.8</v>
      </c>
      <c r="I239" s="39">
        <v>12.399999999999999</v>
      </c>
      <c r="J239" s="39">
        <f>AVERAGE(C239:I239,F236:F242)</f>
        <v>16.762499999999999</v>
      </c>
      <c r="L239" t="s">
        <v>1367</v>
      </c>
      <c r="M239" s="39">
        <f t="shared" si="70"/>
        <v>20.078333333333333</v>
      </c>
      <c r="N239" s="39">
        <f>$J$243+$J248+D$252</f>
        <v>14.668333333333333</v>
      </c>
      <c r="O239" s="39">
        <f>$J$243+$J248+E$252</f>
        <v>21.173333333333336</v>
      </c>
      <c r="P239" s="39"/>
      <c r="Q239" s="39">
        <f>$J$243+$J248+G$252</f>
        <v>15.07833333333334</v>
      </c>
      <c r="R239" s="39">
        <f>$J$243+$J248+H$252</f>
        <v>16.968333333333337</v>
      </c>
      <c r="S239" s="39">
        <f>$J$243+$J248+I$252</f>
        <v>12.608333333333338</v>
      </c>
    </row>
    <row r="240" spans="1:19">
      <c r="B240" t="s">
        <v>1368</v>
      </c>
      <c r="C240" s="39">
        <v>16.7</v>
      </c>
      <c r="D240" s="39">
        <v>12.899999999999999</v>
      </c>
      <c r="E240" s="39">
        <v>15.3</v>
      </c>
      <c r="F240" s="39">
        <v>14.5</v>
      </c>
      <c r="G240" s="39"/>
      <c r="H240" s="39">
        <v>17</v>
      </c>
      <c r="I240" s="39">
        <v>11.3</v>
      </c>
      <c r="J240" s="39">
        <f>AVERAGE(C240:I240,G236:G242)</f>
        <v>15.54166666666667</v>
      </c>
      <c r="L240" t="s">
        <v>1368</v>
      </c>
      <c r="M240" s="39">
        <f t="shared" si="70"/>
        <v>18.613333333333337</v>
      </c>
      <c r="N240" s="39">
        <f>$J$243+$J249+D$252</f>
        <v>13.203333333333337</v>
      </c>
      <c r="O240" s="39">
        <f>$J$243+$J249+E$252</f>
        <v>19.708333333333339</v>
      </c>
      <c r="P240" s="39">
        <f>$J$243+$J249+F$252</f>
        <v>15.078333333333338</v>
      </c>
      <c r="Q240" s="39"/>
      <c r="R240" s="39">
        <f>$J$243+$J249+H$252</f>
        <v>15.503333333333341</v>
      </c>
      <c r="S240" s="39">
        <f>$J$243+$J249+I$252</f>
        <v>11.143333333333342</v>
      </c>
    </row>
    <row r="241" spans="2:19">
      <c r="B241" t="s">
        <v>624</v>
      </c>
      <c r="C241" s="39">
        <v>21.799999999999997</v>
      </c>
      <c r="D241" s="39">
        <v>14.1</v>
      </c>
      <c r="E241" s="39">
        <v>16.700000000000003</v>
      </c>
      <c r="F241" s="39">
        <v>19.600000000000001</v>
      </c>
      <c r="G241" s="39">
        <v>15.8</v>
      </c>
      <c r="H241" s="39"/>
      <c r="I241" s="39">
        <v>9.6</v>
      </c>
      <c r="J241" s="39">
        <f>AVERAGE(C241:I241,H236:H242)</f>
        <v>17.116666666666667</v>
      </c>
      <c r="L241" t="s">
        <v>624</v>
      </c>
      <c r="M241" s="39">
        <f t="shared" si="70"/>
        <v>20.503333333333334</v>
      </c>
      <c r="N241" s="39">
        <f>$J$243+$J250+D$252</f>
        <v>15.093333333333334</v>
      </c>
      <c r="O241" s="39">
        <f>$J$243+$J250+E$252</f>
        <v>21.598333333333336</v>
      </c>
      <c r="P241" s="39">
        <f>$J$243+$J250+F$252</f>
        <v>16.968333333333337</v>
      </c>
      <c r="Q241" s="39">
        <f>$J$243+$J250+G$252</f>
        <v>15.503333333333341</v>
      </c>
      <c r="R241" s="39"/>
      <c r="S241" s="39">
        <f>$J$243+$J250+I$252</f>
        <v>13.033333333333339</v>
      </c>
    </row>
    <row r="242" spans="2:19">
      <c r="B242" t="s">
        <v>1357</v>
      </c>
      <c r="C242" s="39">
        <v>15.3</v>
      </c>
      <c r="D242" s="39">
        <v>10.7</v>
      </c>
      <c r="E242" s="39">
        <v>14.899999999999999</v>
      </c>
      <c r="F242" s="39">
        <v>14.100000000000001</v>
      </c>
      <c r="G242" s="39">
        <v>15.6</v>
      </c>
      <c r="H242" s="39">
        <v>13.3</v>
      </c>
      <c r="I242" s="39"/>
      <c r="J242" s="39">
        <f>AVERAGE(C242:I242,I236:I242)</f>
        <v>13.483333333333334</v>
      </c>
      <c r="L242" t="s">
        <v>1357</v>
      </c>
      <c r="M242" s="39">
        <f t="shared" si="70"/>
        <v>16.143333333333334</v>
      </c>
      <c r="N242" s="39">
        <f>$J$243+$J251+D$252</f>
        <v>10.733333333333334</v>
      </c>
      <c r="O242" s="39">
        <f>$J$243+$J251+E$252</f>
        <v>17.238333333333337</v>
      </c>
      <c r="P242" s="39">
        <f>$J$243+$J251+F$252</f>
        <v>12.608333333333336</v>
      </c>
      <c r="Q242" s="39">
        <f>$J$243+$J251+G$252</f>
        <v>11.143333333333342</v>
      </c>
      <c r="R242" s="39">
        <f>$J$243+$J251+H$252</f>
        <v>13.033333333333339</v>
      </c>
      <c r="S242" s="39"/>
    </row>
    <row r="243" spans="2:19">
      <c r="B243" t="s">
        <v>1370</v>
      </c>
      <c r="I243" s="39">
        <f>AVERAGE(C236:I242)</f>
        <v>16.919047619047618</v>
      </c>
      <c r="J243" s="39">
        <f>AVERAGE(C236:I242)</f>
        <v>16.919047619047618</v>
      </c>
      <c r="L243" t="s">
        <v>672</v>
      </c>
      <c r="M243" s="13">
        <f>CORREL(C236:I242,M236:S242)</f>
        <v>0.76762302282755901</v>
      </c>
    </row>
    <row r="244" spans="2:19">
      <c r="B244" t="s">
        <v>1371</v>
      </c>
      <c r="C244" t="s">
        <v>1364</v>
      </c>
      <c r="D244" t="s">
        <v>1365</v>
      </c>
      <c r="E244" t="s">
        <v>1366</v>
      </c>
      <c r="F244" t="s">
        <v>1367</v>
      </c>
      <c r="G244" t="s">
        <v>1368</v>
      </c>
      <c r="H244" t="s">
        <v>624</v>
      </c>
      <c r="I244" t="s">
        <v>1357</v>
      </c>
      <c r="J244" t="s">
        <v>1372</v>
      </c>
    </row>
    <row r="245" spans="2:19">
      <c r="B245" t="s">
        <v>1364</v>
      </c>
      <c r="C245" s="39"/>
      <c r="D245" s="39">
        <f t="shared" ref="D245:I245" si="71">D236-$J$243-$J245-D$252</f>
        <v>-2.9033333333333307</v>
      </c>
      <c r="E245" s="39">
        <f t="shared" si="71"/>
        <v>4.2916666666666652</v>
      </c>
      <c r="F245" s="39">
        <f t="shared" si="71"/>
        <v>2.0216666666666683</v>
      </c>
      <c r="G245" s="39">
        <f t="shared" si="71"/>
        <v>0.6366666666666625</v>
      </c>
      <c r="H245" s="39">
        <f t="shared" si="71"/>
        <v>-4.0033333333333347</v>
      </c>
      <c r="I245" s="39">
        <f t="shared" si="71"/>
        <v>0.35666666666666513</v>
      </c>
      <c r="J245" s="39">
        <f>(J236-$J$243)*6/5</f>
        <v>3.3471428571428574</v>
      </c>
      <c r="L245" t="s">
        <v>515</v>
      </c>
      <c r="M245" t="s">
        <v>1358</v>
      </c>
    </row>
    <row r="246" spans="2:19">
      <c r="B246" t="s">
        <v>1365</v>
      </c>
      <c r="C246" s="39">
        <f t="shared" ref="C246:I251" si="72">C237-$J$243-$J246-C$252</f>
        <v>-2.2533333333333316</v>
      </c>
      <c r="D246" s="39"/>
      <c r="E246" s="39">
        <f t="shared" si="72"/>
        <v>-4.5983333333333336</v>
      </c>
      <c r="F246" s="39">
        <f t="shared" si="72"/>
        <v>3.9316666666666698</v>
      </c>
      <c r="G246" s="39">
        <f t="shared" si="72"/>
        <v>2.0466666666666642</v>
      </c>
      <c r="H246" s="39">
        <f t="shared" si="72"/>
        <v>1.0066666666666684</v>
      </c>
      <c r="I246" s="39">
        <f t="shared" si="72"/>
        <v>3.866666666666668</v>
      </c>
      <c r="J246" s="39">
        <f t="shared" ref="J246:J251" si="73">(J237-$J$243)*6/5</f>
        <v>-2.0628571428571441</v>
      </c>
      <c r="K246" t="s">
        <v>160</v>
      </c>
      <c r="L246" s="39"/>
      <c r="M246" s="39"/>
    </row>
    <row r="247" spans="2:19">
      <c r="B247" t="s">
        <v>1366</v>
      </c>
      <c r="C247" s="39">
        <f t="shared" si="72"/>
        <v>6.3916666666666675</v>
      </c>
      <c r="D247" s="39">
        <f t="shared" si="72"/>
        <v>2.7016666666666671</v>
      </c>
      <c r="E247" s="39"/>
      <c r="F247" s="39">
        <f t="shared" si="72"/>
        <v>3.8266666666666649</v>
      </c>
      <c r="G247" s="39">
        <f t="shared" si="72"/>
        <v>-0.10833333333333806</v>
      </c>
      <c r="H247" s="39">
        <f t="shared" si="72"/>
        <v>7.5016666666666652</v>
      </c>
      <c r="I247" s="39">
        <f t="shared" si="72"/>
        <v>-3.7383333333333368</v>
      </c>
      <c r="J247" s="39">
        <f t="shared" si="73"/>
        <v>4.4421428571428594</v>
      </c>
      <c r="K247" t="s">
        <v>161</v>
      </c>
      <c r="L247" s="39">
        <f>C237</f>
        <v>15.95</v>
      </c>
      <c r="M247" s="39">
        <f t="shared" ref="M247:M251" si="74">M237</f>
        <v>18.20333333333333</v>
      </c>
    </row>
    <row r="248" spans="2:19">
      <c r="B248" t="s">
        <v>1367</v>
      </c>
      <c r="C248" s="39">
        <f t="shared" si="72"/>
        <v>-3.0783333333333331</v>
      </c>
      <c r="D248" s="39">
        <f t="shared" si="72"/>
        <v>-2.4683333333333319</v>
      </c>
      <c r="E248" s="39">
        <f t="shared" si="72"/>
        <v>-4.623333333333334</v>
      </c>
      <c r="F248" s="39"/>
      <c r="G248" s="39">
        <f t="shared" si="72"/>
        <v>-1.7783333333333375</v>
      </c>
      <c r="H248" s="39">
        <f t="shared" si="72"/>
        <v>-1.1683333333333343</v>
      </c>
      <c r="I248" s="39">
        <f t="shared" si="72"/>
        <v>-0.20833333333333659</v>
      </c>
      <c r="J248" s="39">
        <f t="shared" si="73"/>
        <v>-0.18785714285714192</v>
      </c>
      <c r="K248" t="s">
        <v>507</v>
      </c>
      <c r="L248" s="39">
        <f t="shared" ref="L248:L251" si="75">C238</f>
        <v>31.1</v>
      </c>
      <c r="M248" s="39">
        <f t="shared" si="74"/>
        <v>24.708333333333332</v>
      </c>
    </row>
    <row r="249" spans="2:19">
      <c r="B249" t="s">
        <v>1368</v>
      </c>
      <c r="C249" s="39">
        <f t="shared" si="72"/>
        <v>-1.9133333333333382</v>
      </c>
      <c r="D249" s="39">
        <f t="shared" si="72"/>
        <v>-0.30333333333333723</v>
      </c>
      <c r="E249" s="39">
        <f t="shared" si="72"/>
        <v>-4.4083333333333385</v>
      </c>
      <c r="F249" s="39">
        <f t="shared" si="72"/>
        <v>-0.57833333333333814</v>
      </c>
      <c r="G249" s="39"/>
      <c r="H249" s="39">
        <f t="shared" si="72"/>
        <v>1.4966666666666604</v>
      </c>
      <c r="I249" s="39">
        <f t="shared" si="72"/>
        <v>0.15666666666666096</v>
      </c>
      <c r="J249" s="39">
        <f t="shared" si="73"/>
        <v>-1.6528571428571375</v>
      </c>
      <c r="K249" t="s">
        <v>213</v>
      </c>
      <c r="L249" s="39">
        <f t="shared" si="75"/>
        <v>17</v>
      </c>
      <c r="M249" s="39">
        <f t="shared" si="74"/>
        <v>20.078333333333333</v>
      </c>
    </row>
    <row r="250" spans="2:19">
      <c r="B250" t="s">
        <v>624</v>
      </c>
      <c r="C250" s="39">
        <f t="shared" si="72"/>
        <v>1.2966666666666629</v>
      </c>
      <c r="D250" s="39">
        <f t="shared" si="72"/>
        <v>-0.99333333333333318</v>
      </c>
      <c r="E250" s="39">
        <f t="shared" si="72"/>
        <v>-4.8983333333333334</v>
      </c>
      <c r="F250" s="39">
        <f t="shared" si="72"/>
        <v>2.6316666666666664</v>
      </c>
      <c r="G250" s="39">
        <f t="shared" si="72"/>
        <v>0.29666666666666108</v>
      </c>
      <c r="H250" s="39"/>
      <c r="I250" s="39">
        <f t="shared" si="72"/>
        <v>-3.4333333333333371</v>
      </c>
      <c r="J250" s="39">
        <f t="shared" si="73"/>
        <v>0.23714285714285949</v>
      </c>
      <c r="K250" t="s">
        <v>146</v>
      </c>
      <c r="L250" s="39">
        <f t="shared" si="75"/>
        <v>16.7</v>
      </c>
      <c r="M250" s="39">
        <f t="shared" si="74"/>
        <v>18.613333333333337</v>
      </c>
    </row>
    <row r="251" spans="2:19">
      <c r="B251" t="s">
        <v>1357</v>
      </c>
      <c r="C251" s="39">
        <f t="shared" si="72"/>
        <v>-0.84333333333333416</v>
      </c>
      <c r="D251" s="39">
        <f t="shared" si="72"/>
        <v>-3.3333333333334103E-2</v>
      </c>
      <c r="E251" s="39">
        <f t="shared" si="72"/>
        <v>-2.3383333333333383</v>
      </c>
      <c r="F251" s="39">
        <f t="shared" si="72"/>
        <v>1.4916666666666658</v>
      </c>
      <c r="G251" s="39">
        <f t="shared" si="72"/>
        <v>4.4566666666666599</v>
      </c>
      <c r="H251" s="39">
        <f t="shared" si="72"/>
        <v>0.26666666666666378</v>
      </c>
      <c r="I251" s="39"/>
      <c r="J251" s="39">
        <f t="shared" si="73"/>
        <v>-4.1228571428571401</v>
      </c>
      <c r="K251" t="s">
        <v>456</v>
      </c>
      <c r="L251" s="39">
        <f t="shared" si="75"/>
        <v>21.799999999999997</v>
      </c>
      <c r="M251" s="39">
        <f t="shared" si="74"/>
        <v>20.503333333333334</v>
      </c>
    </row>
    <row r="252" spans="2:19">
      <c r="B252" t="s">
        <v>1372</v>
      </c>
      <c r="C252" s="39">
        <f>J245</f>
        <v>3.3471428571428574</v>
      </c>
      <c r="D252" s="39">
        <f>J246</f>
        <v>-2.0628571428571441</v>
      </c>
      <c r="E252" s="39">
        <f>J247</f>
        <v>4.4421428571428594</v>
      </c>
      <c r="F252" s="39">
        <f>J248</f>
        <v>-0.18785714285714192</v>
      </c>
      <c r="G252" s="39">
        <f>J249</f>
        <v>-1.6528571428571375</v>
      </c>
      <c r="H252" s="39">
        <f>J250</f>
        <v>0.23714285714285949</v>
      </c>
      <c r="I252" s="39">
        <f>J251</f>
        <v>-4.1228571428571401</v>
      </c>
      <c r="J252" s="39"/>
      <c r="K252" t="s">
        <v>1357</v>
      </c>
      <c r="L252" s="39">
        <f>C242</f>
        <v>15.3</v>
      </c>
      <c r="M252" s="39">
        <f>M242</f>
        <v>16.143333333333334</v>
      </c>
    </row>
    <row r="253" spans="2:19">
      <c r="K253" t="s">
        <v>160</v>
      </c>
      <c r="L253" s="39">
        <f>D236</f>
        <v>15.3</v>
      </c>
      <c r="M253" s="39">
        <f>N236</f>
        <v>18.20333333333333</v>
      </c>
    </row>
    <row r="254" spans="2:19">
      <c r="K254" t="s">
        <v>161</v>
      </c>
      <c r="L254" s="39"/>
      <c r="M254" s="39"/>
    </row>
    <row r="255" spans="2:19">
      <c r="K255" t="s">
        <v>507</v>
      </c>
      <c r="L255" s="39">
        <f t="shared" ref="L255:L259" si="76">D238</f>
        <v>22</v>
      </c>
      <c r="M255" s="39">
        <f t="shared" ref="M255:M259" si="77">N238</f>
        <v>19.298333333333332</v>
      </c>
    </row>
    <row r="256" spans="2:19">
      <c r="K256" t="s">
        <v>213</v>
      </c>
      <c r="L256" s="39">
        <f t="shared" si="76"/>
        <v>12.2</v>
      </c>
      <c r="M256" s="39">
        <f t="shared" si="77"/>
        <v>14.668333333333333</v>
      </c>
    </row>
    <row r="257" spans="11:13">
      <c r="K257" t="s">
        <v>146</v>
      </c>
      <c r="L257" s="39">
        <f t="shared" si="76"/>
        <v>12.899999999999999</v>
      </c>
      <c r="M257" s="39">
        <f t="shared" si="77"/>
        <v>13.203333333333337</v>
      </c>
    </row>
    <row r="258" spans="11:13">
      <c r="K258" t="s">
        <v>456</v>
      </c>
      <c r="L258" s="39">
        <f t="shared" si="76"/>
        <v>14.1</v>
      </c>
      <c r="M258" s="39">
        <f t="shared" si="77"/>
        <v>15.093333333333334</v>
      </c>
    </row>
    <row r="259" spans="11:13">
      <c r="K259" t="s">
        <v>1357</v>
      </c>
      <c r="L259" s="39">
        <f t="shared" si="76"/>
        <v>10.7</v>
      </c>
      <c r="M259" s="39">
        <f t="shared" si="77"/>
        <v>10.733333333333334</v>
      </c>
    </row>
    <row r="260" spans="11:13">
      <c r="K260" t="s">
        <v>160</v>
      </c>
      <c r="L260" s="39">
        <f t="shared" ref="L260:L266" si="78">E236</f>
        <v>29</v>
      </c>
      <c r="M260" s="39">
        <f t="shared" ref="M260:M266" si="79">O236</f>
        <v>24.708333333333332</v>
      </c>
    </row>
    <row r="261" spans="11:13">
      <c r="K261" t="s">
        <v>161</v>
      </c>
      <c r="L261" s="39">
        <f t="shared" si="78"/>
        <v>14.7</v>
      </c>
      <c r="M261" s="39">
        <f t="shared" si="79"/>
        <v>19.298333333333332</v>
      </c>
    </row>
    <row r="262" spans="11:13">
      <c r="K262" t="s">
        <v>507</v>
      </c>
      <c r="L262" s="39"/>
      <c r="M262" s="39"/>
    </row>
    <row r="263" spans="11:13">
      <c r="K263" t="s">
        <v>213</v>
      </c>
      <c r="L263" s="39">
        <f t="shared" si="78"/>
        <v>16.55</v>
      </c>
      <c r="M263" s="39">
        <f t="shared" si="79"/>
        <v>21.173333333333336</v>
      </c>
    </row>
    <row r="264" spans="11:13">
      <c r="K264" t="s">
        <v>146</v>
      </c>
      <c r="L264" s="39">
        <f t="shared" si="78"/>
        <v>15.3</v>
      </c>
      <c r="M264" s="39">
        <f t="shared" si="79"/>
        <v>19.708333333333339</v>
      </c>
    </row>
    <row r="265" spans="11:13">
      <c r="K265" t="s">
        <v>456</v>
      </c>
      <c r="L265" s="39">
        <f t="shared" si="78"/>
        <v>16.700000000000003</v>
      </c>
      <c r="M265" s="39">
        <f t="shared" si="79"/>
        <v>21.598333333333336</v>
      </c>
    </row>
    <row r="266" spans="11:13">
      <c r="K266" t="s">
        <v>1357</v>
      </c>
      <c r="L266" s="39">
        <f t="shared" si="78"/>
        <v>14.899999999999999</v>
      </c>
      <c r="M266" s="39">
        <f t="shared" si="79"/>
        <v>17.238333333333337</v>
      </c>
    </row>
    <row r="267" spans="11:13">
      <c r="K267" t="s">
        <v>160</v>
      </c>
      <c r="L267" s="39">
        <f t="shared" ref="L267:L273" si="80">F236</f>
        <v>22.1</v>
      </c>
      <c r="M267" s="39">
        <f t="shared" ref="M267:M273" si="81">P236</f>
        <v>20.078333333333333</v>
      </c>
    </row>
    <row r="268" spans="11:13">
      <c r="K268" t="s">
        <v>161</v>
      </c>
      <c r="L268" s="39">
        <f t="shared" si="80"/>
        <v>18.600000000000001</v>
      </c>
      <c r="M268" s="39">
        <f t="shared" si="81"/>
        <v>14.668333333333331</v>
      </c>
    </row>
    <row r="269" spans="11:13">
      <c r="K269" t="s">
        <v>507</v>
      </c>
      <c r="L269" s="39">
        <f t="shared" si="80"/>
        <v>25</v>
      </c>
      <c r="M269" s="39">
        <f t="shared" si="81"/>
        <v>21.173333333333336</v>
      </c>
    </row>
    <row r="270" spans="11:13">
      <c r="K270" t="s">
        <v>213</v>
      </c>
      <c r="L270" s="39"/>
      <c r="M270" s="39"/>
    </row>
    <row r="271" spans="11:13">
      <c r="K271" t="s">
        <v>146</v>
      </c>
      <c r="L271" s="39">
        <f t="shared" si="80"/>
        <v>14.5</v>
      </c>
      <c r="M271" s="39">
        <f t="shared" si="81"/>
        <v>15.078333333333338</v>
      </c>
    </row>
    <row r="272" spans="11:13">
      <c r="K272" t="s">
        <v>456</v>
      </c>
      <c r="L272" s="39">
        <f t="shared" si="80"/>
        <v>19.600000000000001</v>
      </c>
      <c r="M272" s="39">
        <f t="shared" si="81"/>
        <v>16.968333333333337</v>
      </c>
    </row>
    <row r="273" spans="11:13">
      <c r="K273" t="s">
        <v>1357</v>
      </c>
      <c r="L273" s="39">
        <f t="shared" si="80"/>
        <v>14.100000000000001</v>
      </c>
      <c r="M273" s="39">
        <f t="shared" si="81"/>
        <v>12.608333333333336</v>
      </c>
    </row>
    <row r="274" spans="11:13">
      <c r="K274" t="s">
        <v>160</v>
      </c>
      <c r="L274" s="39">
        <f t="shared" ref="L274:L280" si="82">G236</f>
        <v>19.25</v>
      </c>
      <c r="M274" s="39">
        <f t="shared" ref="M274:M280" si="83">Q236</f>
        <v>18.613333333333337</v>
      </c>
    </row>
    <row r="275" spans="11:13">
      <c r="K275" t="s">
        <v>161</v>
      </c>
      <c r="L275" s="39">
        <f t="shared" si="82"/>
        <v>15.25</v>
      </c>
      <c r="M275" s="39">
        <f t="shared" si="83"/>
        <v>13.203333333333337</v>
      </c>
    </row>
    <row r="276" spans="11:13">
      <c r="K276" t="s">
        <v>507</v>
      </c>
      <c r="L276" s="39">
        <f t="shared" si="82"/>
        <v>19.600000000000001</v>
      </c>
      <c r="M276" s="39">
        <f t="shared" si="83"/>
        <v>19.708333333333339</v>
      </c>
    </row>
    <row r="277" spans="11:13">
      <c r="K277" t="s">
        <v>213</v>
      </c>
      <c r="L277" s="39">
        <f t="shared" si="82"/>
        <v>13.3</v>
      </c>
      <c r="M277" s="39">
        <f t="shared" si="83"/>
        <v>15.07833333333334</v>
      </c>
    </row>
    <row r="278" spans="11:13">
      <c r="K278" t="s">
        <v>146</v>
      </c>
      <c r="L278" s="39"/>
      <c r="M278" s="39"/>
    </row>
    <row r="279" spans="11:13">
      <c r="K279" t="s">
        <v>456</v>
      </c>
      <c r="L279" s="39">
        <f t="shared" si="82"/>
        <v>15.8</v>
      </c>
      <c r="M279" s="39">
        <f t="shared" si="83"/>
        <v>15.503333333333341</v>
      </c>
    </row>
    <row r="280" spans="11:13">
      <c r="K280" t="s">
        <v>1357</v>
      </c>
      <c r="L280" s="39">
        <f t="shared" si="82"/>
        <v>15.6</v>
      </c>
      <c r="M280" s="39">
        <f t="shared" si="83"/>
        <v>11.143333333333342</v>
      </c>
    </row>
    <row r="281" spans="11:13">
      <c r="K281" t="s">
        <v>160</v>
      </c>
      <c r="L281" s="39">
        <f t="shared" ref="L281:L285" si="84">H236</f>
        <v>16.5</v>
      </c>
      <c r="M281" s="39">
        <f t="shared" ref="M281:M287" si="85">R236</f>
        <v>20.503333333333334</v>
      </c>
    </row>
    <row r="282" spans="11:13">
      <c r="K282" t="s">
        <v>161</v>
      </c>
      <c r="L282" s="39">
        <f t="shared" si="84"/>
        <v>16.100000000000001</v>
      </c>
      <c r="M282" s="39">
        <f t="shared" si="85"/>
        <v>15.093333333333334</v>
      </c>
    </row>
    <row r="283" spans="11:13">
      <c r="K283" t="s">
        <v>507</v>
      </c>
      <c r="L283" s="39">
        <f t="shared" si="84"/>
        <v>29.1</v>
      </c>
      <c r="M283" s="39">
        <f t="shared" si="85"/>
        <v>21.598333333333336</v>
      </c>
    </row>
    <row r="284" spans="11:13">
      <c r="K284" t="s">
        <v>213</v>
      </c>
      <c r="L284" s="39">
        <f t="shared" si="84"/>
        <v>15.8</v>
      </c>
      <c r="M284" s="39">
        <f t="shared" si="85"/>
        <v>16.968333333333337</v>
      </c>
    </row>
    <row r="285" spans="11:13">
      <c r="K285" t="s">
        <v>146</v>
      </c>
      <c r="L285" s="39">
        <f t="shared" si="84"/>
        <v>17</v>
      </c>
      <c r="M285" s="39">
        <f t="shared" si="85"/>
        <v>15.503333333333341</v>
      </c>
    </row>
    <row r="286" spans="11:13">
      <c r="K286" t="s">
        <v>456</v>
      </c>
      <c r="L286" s="39"/>
      <c r="M286" s="39"/>
    </row>
    <row r="287" spans="11:13">
      <c r="K287" t="s">
        <v>1357</v>
      </c>
      <c r="L287" s="39">
        <f>H242</f>
        <v>13.3</v>
      </c>
      <c r="M287" s="39">
        <f t="shared" si="85"/>
        <v>13.033333333333339</v>
      </c>
    </row>
    <row r="288" spans="11:13">
      <c r="K288" t="s">
        <v>160</v>
      </c>
      <c r="L288" s="39">
        <f>I236</f>
        <v>16.5</v>
      </c>
      <c r="M288" s="39">
        <f>S236</f>
        <v>16.143333333333334</v>
      </c>
    </row>
    <row r="289" spans="1:19">
      <c r="K289" t="s">
        <v>161</v>
      </c>
      <c r="L289" s="39">
        <f t="shared" ref="L289:L292" si="86">I237</f>
        <v>14.600000000000001</v>
      </c>
      <c r="M289" s="39">
        <f t="shared" ref="M289:M292" si="87">S237</f>
        <v>10.733333333333334</v>
      </c>
    </row>
    <row r="290" spans="1:19">
      <c r="K290" t="s">
        <v>507</v>
      </c>
      <c r="L290" s="39">
        <f t="shared" si="86"/>
        <v>13.5</v>
      </c>
      <c r="M290" s="39">
        <f t="shared" si="87"/>
        <v>17.238333333333337</v>
      </c>
    </row>
    <row r="291" spans="1:19">
      <c r="K291" t="s">
        <v>213</v>
      </c>
      <c r="L291" s="39">
        <f t="shared" si="86"/>
        <v>12.399999999999999</v>
      </c>
      <c r="M291" s="39">
        <f t="shared" si="87"/>
        <v>12.608333333333338</v>
      </c>
    </row>
    <row r="292" spans="1:19">
      <c r="K292" t="s">
        <v>146</v>
      </c>
      <c r="L292" s="39">
        <f t="shared" si="86"/>
        <v>11.3</v>
      </c>
      <c r="M292" s="39">
        <f t="shared" si="87"/>
        <v>11.143333333333342</v>
      </c>
    </row>
    <row r="293" spans="1:19">
      <c r="K293" t="s">
        <v>456</v>
      </c>
      <c r="L293" s="39">
        <f>I241</f>
        <v>9.6</v>
      </c>
      <c r="M293" s="39">
        <f>S241</f>
        <v>13.033333333333339</v>
      </c>
    </row>
    <row r="294" spans="1:19">
      <c r="K294" t="s">
        <v>1357</v>
      </c>
      <c r="L294" s="39"/>
      <c r="M294" s="39"/>
    </row>
    <row r="295" spans="1:19">
      <c r="K295" t="s">
        <v>672</v>
      </c>
      <c r="L295" s="13">
        <f>CORREL(L246:L294,M246:M294)</f>
        <v>0.76762302282755879</v>
      </c>
      <c r="M295" s="39"/>
    </row>
    <row r="297" spans="1:19">
      <c r="A297" s="11" t="s">
        <v>1374</v>
      </c>
      <c r="B297" t="s">
        <v>1363</v>
      </c>
      <c r="C297" t="s">
        <v>1364</v>
      </c>
      <c r="D297" t="s">
        <v>1365</v>
      </c>
      <c r="E297" t="s">
        <v>1366</v>
      </c>
      <c r="F297" t="s">
        <v>1367</v>
      </c>
      <c r="G297" t="s">
        <v>1368</v>
      </c>
      <c r="H297" t="s">
        <v>624</v>
      </c>
      <c r="I297" t="s">
        <v>1357</v>
      </c>
      <c r="J297" t="s">
        <v>1369</v>
      </c>
      <c r="L297" t="s">
        <v>1358</v>
      </c>
      <c r="M297" t="s">
        <v>1364</v>
      </c>
      <c r="N297" t="s">
        <v>1365</v>
      </c>
      <c r="O297" t="s">
        <v>1366</v>
      </c>
      <c r="P297" t="s">
        <v>1367</v>
      </c>
      <c r="Q297" t="s">
        <v>1368</v>
      </c>
      <c r="R297" t="s">
        <v>624</v>
      </c>
      <c r="S297" t="s">
        <v>1357</v>
      </c>
    </row>
    <row r="298" spans="1:19">
      <c r="B298" t="s">
        <v>1364</v>
      </c>
      <c r="C298" s="39">
        <v>23.5</v>
      </c>
      <c r="D298" s="39">
        <v>15.3</v>
      </c>
      <c r="E298" s="39">
        <v>29</v>
      </c>
      <c r="F298" s="39">
        <v>22.1</v>
      </c>
      <c r="G298" s="39">
        <v>19.25</v>
      </c>
      <c r="H298" s="39">
        <v>16.5</v>
      </c>
      <c r="I298" s="39">
        <v>16.5</v>
      </c>
      <c r="J298" s="39">
        <f>AVERAGE(C298:I298,C298:C304)</f>
        <v>20.706250000000001</v>
      </c>
      <c r="L298" t="s">
        <v>1364</v>
      </c>
      <c r="M298" s="39">
        <f t="shared" ref="M298:S298" si="88">$J$305+$J307+C$314</f>
        <v>23.06666666666667</v>
      </c>
      <c r="N298" s="39">
        <f t="shared" si="88"/>
        <v>19.166666666666671</v>
      </c>
      <c r="O298" s="39">
        <f t="shared" si="88"/>
        <v>24.316666666666666</v>
      </c>
      <c r="P298" s="39">
        <f t="shared" si="88"/>
        <v>20.616666666666667</v>
      </c>
      <c r="Q298" s="39">
        <f t="shared" si="88"/>
        <v>18.672222222222224</v>
      </c>
      <c r="R298" s="39">
        <f t="shared" si="88"/>
        <v>20.983333333333334</v>
      </c>
      <c r="S298" s="39">
        <f t="shared" si="88"/>
        <v>15.761111111111113</v>
      </c>
    </row>
    <row r="299" spans="1:19">
      <c r="B299" t="s">
        <v>1365</v>
      </c>
      <c r="C299" s="39"/>
      <c r="D299" s="39">
        <v>18</v>
      </c>
      <c r="E299" s="39">
        <v>14.7</v>
      </c>
      <c r="F299" s="39">
        <v>18.600000000000001</v>
      </c>
      <c r="G299" s="39">
        <v>15.25</v>
      </c>
      <c r="H299" s="39">
        <v>16.100000000000001</v>
      </c>
      <c r="I299" s="39">
        <v>14.600000000000001</v>
      </c>
      <c r="J299" s="39">
        <f>AVERAGE(C299:I299,D298:D304)</f>
        <v>16.318750000000001</v>
      </c>
      <c r="L299" t="s">
        <v>1365</v>
      </c>
      <c r="M299" s="39"/>
      <c r="N299" s="39">
        <f t="shared" ref="N299:S299" si="89">$J$305+$J308+D$314</f>
        <v>15.266666666666671</v>
      </c>
      <c r="O299" s="39">
        <f t="shared" si="89"/>
        <v>20.416666666666668</v>
      </c>
      <c r="P299" s="39">
        <f t="shared" si="89"/>
        <v>16.716666666666669</v>
      </c>
      <c r="Q299" s="39">
        <f t="shared" si="89"/>
        <v>14.772222222222226</v>
      </c>
      <c r="R299" s="39">
        <f t="shared" si="89"/>
        <v>17.083333333333336</v>
      </c>
      <c r="S299" s="39">
        <f t="shared" si="89"/>
        <v>11.861111111111114</v>
      </c>
    </row>
    <row r="300" spans="1:19">
      <c r="B300" t="s">
        <v>1366</v>
      </c>
      <c r="C300" s="39"/>
      <c r="D300" s="39"/>
      <c r="E300" s="39">
        <v>23</v>
      </c>
      <c r="F300" s="39">
        <v>25</v>
      </c>
      <c r="G300" s="39">
        <v>19.600000000000001</v>
      </c>
      <c r="H300" s="39">
        <v>29.1</v>
      </c>
      <c r="I300" s="39">
        <v>13.5</v>
      </c>
      <c r="J300" s="39">
        <f>AVERAGE(C300:I300,E298:E304)</f>
        <v>22.112499999999997</v>
      </c>
      <c r="L300" t="s">
        <v>1366</v>
      </c>
      <c r="M300" s="39"/>
      <c r="N300" s="39"/>
      <c r="O300" s="39">
        <f>$J$305+$J309+E$314</f>
        <v>25.566666666666663</v>
      </c>
      <c r="P300" s="39">
        <f>$J$305+$J309+F$314</f>
        <v>21.866666666666664</v>
      </c>
      <c r="Q300" s="39">
        <f>$J$305+$J309+G$314</f>
        <v>19.922222222222221</v>
      </c>
      <c r="R300" s="39">
        <f>$J$305+$J309+H$314</f>
        <v>22.233333333333331</v>
      </c>
      <c r="S300" s="39">
        <f>$J$305+$J309+I$314</f>
        <v>17.011111111111109</v>
      </c>
    </row>
    <row r="301" spans="1:19">
      <c r="B301" t="s">
        <v>1367</v>
      </c>
      <c r="C301" s="39"/>
      <c r="D301" s="39"/>
      <c r="E301" s="39"/>
      <c r="F301" s="39">
        <v>18.2</v>
      </c>
      <c r="G301" s="39">
        <v>13.3</v>
      </c>
      <c r="H301" s="39">
        <v>15.8</v>
      </c>
      <c r="I301" s="39">
        <v>12.399999999999999</v>
      </c>
      <c r="J301" s="39">
        <f>AVERAGE(C301:I301,F298:F304)</f>
        <v>17.95</v>
      </c>
      <c r="L301" t="s">
        <v>1367</v>
      </c>
      <c r="M301" s="39"/>
      <c r="N301" s="39"/>
      <c r="O301" s="39"/>
      <c r="P301" s="39">
        <f>$J$305+$J310+F$314</f>
        <v>18.166666666666664</v>
      </c>
      <c r="Q301" s="39">
        <f>$J$305+$J310+G$314</f>
        <v>16.222222222222221</v>
      </c>
      <c r="R301" s="39">
        <f>$J$305+$J310+H$314</f>
        <v>18.533333333333331</v>
      </c>
      <c r="S301" s="39">
        <f>$J$305+$J310+I$314</f>
        <v>13.31111111111111</v>
      </c>
    </row>
    <row r="302" spans="1:19">
      <c r="B302" t="s">
        <v>1368</v>
      </c>
      <c r="C302" s="39"/>
      <c r="D302" s="39"/>
      <c r="E302" s="39"/>
      <c r="F302" s="39"/>
      <c r="G302" s="39">
        <v>15.2</v>
      </c>
      <c r="H302" s="39">
        <v>17</v>
      </c>
      <c r="I302" s="39">
        <v>11.3</v>
      </c>
      <c r="J302" s="39">
        <f>AVERAGE(C302:I302,G298:G304)</f>
        <v>15.762499999999999</v>
      </c>
      <c r="L302" t="s">
        <v>1368</v>
      </c>
      <c r="M302" s="39"/>
      <c r="N302" s="39"/>
      <c r="O302" s="39"/>
      <c r="P302" s="39"/>
      <c r="Q302" s="39">
        <f>$J$305+$J311+G$314</f>
        <v>14.277777777777779</v>
      </c>
      <c r="R302" s="39">
        <f>$J$305+$J311+H$314</f>
        <v>16.588888888888889</v>
      </c>
      <c r="S302" s="39">
        <f>$J$305+$J311+I$314</f>
        <v>11.366666666666667</v>
      </c>
    </row>
    <row r="303" spans="1:19">
      <c r="B303" t="s">
        <v>624</v>
      </c>
      <c r="C303" s="39"/>
      <c r="D303" s="39"/>
      <c r="E303" s="39"/>
      <c r="F303" s="39"/>
      <c r="G303" s="39"/>
      <c r="H303" s="39">
        <v>21.4</v>
      </c>
      <c r="I303" s="39">
        <v>9.6</v>
      </c>
      <c r="J303" s="39">
        <f>AVERAGE(C303:I303,H298:H304)</f>
        <v>18.362500000000001</v>
      </c>
      <c r="L303" t="s">
        <v>624</v>
      </c>
      <c r="M303" s="39"/>
      <c r="N303" s="39"/>
      <c r="O303" s="39"/>
      <c r="P303" s="39"/>
      <c r="Q303" s="39"/>
      <c r="R303" s="39">
        <f>$J$305+$J312+H$314</f>
        <v>18.899999999999999</v>
      </c>
      <c r="S303" s="39">
        <f>$J$305+$J312+I$314</f>
        <v>13.677777777777777</v>
      </c>
    </row>
    <row r="304" spans="1:19">
      <c r="B304" t="s">
        <v>1357</v>
      </c>
      <c r="C304" s="39"/>
      <c r="D304" s="39"/>
      <c r="E304" s="39"/>
      <c r="F304" s="39"/>
      <c r="G304" s="39"/>
      <c r="H304" s="39"/>
      <c r="I304" s="39">
        <v>11</v>
      </c>
      <c r="J304" s="39">
        <f>AVERAGE(C304:I304,I298:I304)</f>
        <v>12.487499999999999</v>
      </c>
      <c r="L304" t="s">
        <v>1357</v>
      </c>
      <c r="M304" s="39"/>
      <c r="N304" s="39"/>
      <c r="O304" s="39"/>
      <c r="P304" s="39"/>
      <c r="Q304" s="39"/>
      <c r="R304" s="39"/>
      <c r="S304" s="39">
        <f>$J$305+$J313+I$314</f>
        <v>8.4555555555555557</v>
      </c>
    </row>
    <row r="305" spans="2:13">
      <c r="B305" t="s">
        <v>1370</v>
      </c>
      <c r="I305" s="39">
        <f>AVERAGE(C298:I304)</f>
        <v>17.671428571428571</v>
      </c>
      <c r="J305" s="39">
        <f>AVERAGE(C298:I304)</f>
        <v>17.671428571428571</v>
      </c>
      <c r="L305" t="s">
        <v>672</v>
      </c>
      <c r="M305" s="13">
        <f>CORREL(C298:I304,M298:S304)</f>
        <v>0.80677253755856826</v>
      </c>
    </row>
    <row r="306" spans="2:13">
      <c r="B306" t="s">
        <v>1371</v>
      </c>
      <c r="C306" t="s">
        <v>1364</v>
      </c>
      <c r="D306" t="s">
        <v>1365</v>
      </c>
      <c r="E306" t="s">
        <v>1366</v>
      </c>
      <c r="F306" t="s">
        <v>1367</v>
      </c>
      <c r="G306" t="s">
        <v>1368</v>
      </c>
      <c r="H306" t="s">
        <v>624</v>
      </c>
      <c r="I306" t="s">
        <v>1357</v>
      </c>
      <c r="J306" t="s">
        <v>1372</v>
      </c>
    </row>
    <row r="307" spans="2:13">
      <c r="B307" t="s">
        <v>1364</v>
      </c>
      <c r="C307" s="39">
        <f>C298-$J$305-$J307-C$314</f>
        <v>0.43333333333333179</v>
      </c>
      <c r="D307" s="39">
        <f t="shared" ref="D307:I308" si="90">D298-$J$305-$J307-D$314</f>
        <v>-3.866666666666668</v>
      </c>
      <c r="E307" s="39">
        <f t="shared" si="90"/>
        <v>4.6833333333333336</v>
      </c>
      <c r="F307" s="39">
        <f t="shared" si="90"/>
        <v>1.4833333333333343</v>
      </c>
      <c r="G307" s="39">
        <f t="shared" si="90"/>
        <v>0.5777777777777775</v>
      </c>
      <c r="H307" s="39">
        <f t="shared" si="90"/>
        <v>-4.4833333333333352</v>
      </c>
      <c r="I307" s="39">
        <f t="shared" si="90"/>
        <v>0.73888888888888893</v>
      </c>
      <c r="J307" s="39">
        <f>(J298-$J$305)*8/9</f>
        <v>2.6976190476190487</v>
      </c>
      <c r="L307" t="s">
        <v>515</v>
      </c>
      <c r="M307" t="s">
        <v>1358</v>
      </c>
    </row>
    <row r="308" spans="2:13">
      <c r="B308" t="s">
        <v>1365</v>
      </c>
      <c r="C308" s="39"/>
      <c r="D308" s="39">
        <f t="shared" si="90"/>
        <v>2.7333333333333303</v>
      </c>
      <c r="E308" s="39">
        <f t="shared" si="90"/>
        <v>-5.7166666666666668</v>
      </c>
      <c r="F308" s="39">
        <f t="shared" si="90"/>
        <v>1.8833333333333337</v>
      </c>
      <c r="G308" s="39">
        <f t="shared" si="90"/>
        <v>0.47777777777777675</v>
      </c>
      <c r="H308" s="39">
        <f t="shared" si="90"/>
        <v>-0.98333333333333428</v>
      </c>
      <c r="I308" s="39">
        <f t="shared" si="90"/>
        <v>2.7388888888888898</v>
      </c>
      <c r="J308" s="39">
        <f t="shared" ref="J308:J313" si="91">(J299-$J$305)*8/9</f>
        <v>-1.2023809523809506</v>
      </c>
      <c r="K308" t="s">
        <v>160</v>
      </c>
      <c r="L308" s="39">
        <f>C298</f>
        <v>23.5</v>
      </c>
      <c r="M308" s="39">
        <f>M298</f>
        <v>23.06666666666667</v>
      </c>
    </row>
    <row r="309" spans="2:13">
      <c r="B309" t="s">
        <v>1366</v>
      </c>
      <c r="C309" s="39"/>
      <c r="D309" s="39"/>
      <c r="E309" s="39">
        <f>E300-$J$305-$J309-E$314</f>
        <v>-2.566666666666662</v>
      </c>
      <c r="F309" s="39">
        <f>F300-$J$305-$J309-F$314</f>
        <v>3.133333333333336</v>
      </c>
      <c r="G309" s="39">
        <f>G300-$J$305-$J309-G$314</f>
        <v>-0.32222222222221797</v>
      </c>
      <c r="H309" s="39">
        <f>H300-$J$305-$J309-H$314</f>
        <v>6.8666666666666689</v>
      </c>
      <c r="I309" s="39">
        <f>I300-$J$305-$J309-I$314</f>
        <v>-3.5111111111111084</v>
      </c>
      <c r="J309" s="39">
        <f t="shared" si="91"/>
        <v>3.9476190476190456</v>
      </c>
      <c r="K309" t="s">
        <v>161</v>
      </c>
      <c r="L309" s="39"/>
      <c r="M309" s="39"/>
    </row>
    <row r="310" spans="2:13">
      <c r="B310" t="s">
        <v>1367</v>
      </c>
      <c r="C310" s="39"/>
      <c r="D310" s="39"/>
      <c r="E310" s="39"/>
      <c r="F310" s="39">
        <f>F301-$J$305-$J310-F$314</f>
        <v>3.3333333333333437E-2</v>
      </c>
      <c r="G310" s="39">
        <f>G301-$J$305-$J310-G$314</f>
        <v>-2.9222222222222207</v>
      </c>
      <c r="H310" s="39">
        <f>H301-$J$305-$J310-H$314</f>
        <v>-2.7333333333333334</v>
      </c>
      <c r="I310" s="39">
        <f>I301-$J$305-$J310-I$314</f>
        <v>-0.91111111111111143</v>
      </c>
      <c r="J310" s="39">
        <f t="shared" si="91"/>
        <v>0.24761904761904752</v>
      </c>
      <c r="K310" t="s">
        <v>507</v>
      </c>
      <c r="L310" s="39"/>
      <c r="M310" s="39"/>
    </row>
    <row r="311" spans="2:13">
      <c r="B311" t="s">
        <v>1368</v>
      </c>
      <c r="C311" s="39"/>
      <c r="D311" s="39"/>
      <c r="E311" s="39"/>
      <c r="F311" s="39"/>
      <c r="G311" s="39">
        <f>G302-$J$305-$J311-G$314</f>
        <v>0.9222222222222225</v>
      </c>
      <c r="H311" s="39">
        <f>H302-$J$305-$J311-H$314</f>
        <v>0.41111111111111076</v>
      </c>
      <c r="I311" s="39">
        <f>I302-$J$305-$J311-I$314</f>
        <v>-6.6666666666664653E-2</v>
      </c>
      <c r="J311" s="39">
        <f t="shared" si="91"/>
        <v>-1.696825396825397</v>
      </c>
      <c r="K311" t="s">
        <v>213</v>
      </c>
      <c r="L311" s="39"/>
      <c r="M311" s="39"/>
    </row>
    <row r="312" spans="2:13">
      <c r="B312" t="s">
        <v>624</v>
      </c>
      <c r="C312" s="39"/>
      <c r="D312" s="39"/>
      <c r="E312" s="39"/>
      <c r="F312" s="39"/>
      <c r="G312" s="39"/>
      <c r="H312" s="39">
        <f>H303-$J$305-$J312-H$314</f>
        <v>2.4999999999999964</v>
      </c>
      <c r="I312" s="39">
        <f>I303-$J$305-$J312-I$314</f>
        <v>-4.0777777777777784</v>
      </c>
      <c r="J312" s="39">
        <f t="shared" si="91"/>
        <v>0.61428571428571543</v>
      </c>
      <c r="K312" t="s">
        <v>146</v>
      </c>
      <c r="L312" s="39"/>
      <c r="M312" s="39"/>
    </row>
    <row r="313" spans="2:13">
      <c r="B313" t="s">
        <v>1357</v>
      </c>
      <c r="C313" s="39"/>
      <c r="D313" s="39"/>
      <c r="E313" s="39"/>
      <c r="F313" s="39"/>
      <c r="G313" s="39"/>
      <c r="H313" s="39"/>
      <c r="I313" s="39">
        <f>I304-$J$305-$J313-I$314</f>
        <v>2.5444444444444461</v>
      </c>
      <c r="J313" s="39">
        <f t="shared" si="91"/>
        <v>-4.6079365079365084</v>
      </c>
      <c r="K313" t="s">
        <v>456</v>
      </c>
      <c r="L313" s="39"/>
      <c r="M313" s="39"/>
    </row>
    <row r="314" spans="2:13">
      <c r="B314" t="s">
        <v>1372</v>
      </c>
      <c r="C314" s="39">
        <f>J307</f>
        <v>2.6976190476190487</v>
      </c>
      <c r="D314" s="39">
        <f>J308</f>
        <v>-1.2023809523809506</v>
      </c>
      <c r="E314" s="39">
        <f>J309</f>
        <v>3.9476190476190456</v>
      </c>
      <c r="F314" s="39">
        <f>J310</f>
        <v>0.24761904761904752</v>
      </c>
      <c r="G314" s="39">
        <f>J311</f>
        <v>-1.696825396825397</v>
      </c>
      <c r="H314" s="39">
        <f>J312</f>
        <v>0.61428571428571543</v>
      </c>
      <c r="I314" s="39">
        <f>J313</f>
        <v>-4.6079365079365084</v>
      </c>
      <c r="J314" s="39">
        <f>SUM(C308:I308,D307:D313)</f>
        <v>-8.4376949871511897E-15</v>
      </c>
      <c r="K314" t="s">
        <v>1357</v>
      </c>
      <c r="L314" s="39"/>
      <c r="M314" s="39"/>
    </row>
    <row r="315" spans="2:13">
      <c r="K315" t="s">
        <v>160</v>
      </c>
      <c r="L315" s="39">
        <f t="shared" ref="L315:L316" si="92">D298</f>
        <v>15.3</v>
      </c>
      <c r="M315" s="39">
        <f t="shared" ref="M315:M316" si="93">N298</f>
        <v>19.166666666666671</v>
      </c>
    </row>
    <row r="316" spans="2:13">
      <c r="K316" t="s">
        <v>161</v>
      </c>
      <c r="L316" s="39">
        <f t="shared" si="92"/>
        <v>18</v>
      </c>
      <c r="M316" s="39">
        <f t="shared" si="93"/>
        <v>15.266666666666671</v>
      </c>
    </row>
    <row r="317" spans="2:13">
      <c r="K317" t="s">
        <v>507</v>
      </c>
      <c r="L317" s="39"/>
      <c r="M317" s="39"/>
    </row>
    <row r="318" spans="2:13">
      <c r="K318" t="s">
        <v>213</v>
      </c>
      <c r="L318" s="39"/>
      <c r="M318" s="39"/>
    </row>
    <row r="319" spans="2:13">
      <c r="K319" t="s">
        <v>146</v>
      </c>
      <c r="L319" s="39"/>
      <c r="M319" s="39"/>
    </row>
    <row r="320" spans="2:13">
      <c r="K320" t="s">
        <v>456</v>
      </c>
      <c r="L320" s="39"/>
      <c r="M320" s="39"/>
    </row>
    <row r="321" spans="11:13">
      <c r="K321" t="s">
        <v>1357</v>
      </c>
      <c r="L321" s="39"/>
      <c r="M321" s="39"/>
    </row>
    <row r="322" spans="11:13">
      <c r="K322" t="s">
        <v>160</v>
      </c>
      <c r="L322" s="39">
        <f t="shared" ref="L322:L324" si="94">E298</f>
        <v>29</v>
      </c>
      <c r="M322" s="39">
        <f t="shared" ref="M322:M324" si="95">O298</f>
        <v>24.316666666666666</v>
      </c>
    </row>
    <row r="323" spans="11:13">
      <c r="K323" t="s">
        <v>161</v>
      </c>
      <c r="L323" s="39">
        <f t="shared" si="94"/>
        <v>14.7</v>
      </c>
      <c r="M323" s="39">
        <f t="shared" si="95"/>
        <v>20.416666666666668</v>
      </c>
    </row>
    <row r="324" spans="11:13">
      <c r="K324" t="s">
        <v>507</v>
      </c>
      <c r="L324" s="39">
        <f t="shared" si="94"/>
        <v>23</v>
      </c>
      <c r="M324" s="39">
        <f t="shared" si="95"/>
        <v>25.566666666666663</v>
      </c>
    </row>
    <row r="325" spans="11:13">
      <c r="K325" t="s">
        <v>213</v>
      </c>
      <c r="L325" s="39"/>
      <c r="M325" s="39"/>
    </row>
    <row r="326" spans="11:13">
      <c r="K326" t="s">
        <v>146</v>
      </c>
      <c r="L326" s="39"/>
      <c r="M326" s="39"/>
    </row>
    <row r="327" spans="11:13">
      <c r="K327" t="s">
        <v>456</v>
      </c>
      <c r="L327" s="39"/>
      <c r="M327" s="39"/>
    </row>
    <row r="328" spans="11:13">
      <c r="K328" t="s">
        <v>1357</v>
      </c>
      <c r="L328" s="39"/>
      <c r="M328" s="39"/>
    </row>
    <row r="329" spans="11:13">
      <c r="K329" t="s">
        <v>160</v>
      </c>
      <c r="L329" s="39">
        <f t="shared" ref="L329:L332" si="96">F298</f>
        <v>22.1</v>
      </c>
      <c r="M329" s="39">
        <f t="shared" ref="M329:M332" si="97">P298</f>
        <v>20.616666666666667</v>
      </c>
    </row>
    <row r="330" spans="11:13">
      <c r="K330" t="s">
        <v>161</v>
      </c>
      <c r="L330" s="39">
        <f t="shared" si="96"/>
        <v>18.600000000000001</v>
      </c>
      <c r="M330" s="39">
        <f t="shared" si="97"/>
        <v>16.716666666666669</v>
      </c>
    </row>
    <row r="331" spans="11:13">
      <c r="K331" t="s">
        <v>507</v>
      </c>
      <c r="L331" s="39">
        <f t="shared" si="96"/>
        <v>25</v>
      </c>
      <c r="M331" s="39">
        <f t="shared" si="97"/>
        <v>21.866666666666664</v>
      </c>
    </row>
    <row r="332" spans="11:13">
      <c r="K332" t="s">
        <v>213</v>
      </c>
      <c r="L332" s="39">
        <f t="shared" si="96"/>
        <v>18.2</v>
      </c>
      <c r="M332" s="39">
        <f t="shared" si="97"/>
        <v>18.166666666666664</v>
      </c>
    </row>
    <row r="333" spans="11:13">
      <c r="K333" t="s">
        <v>146</v>
      </c>
      <c r="L333" s="39"/>
      <c r="M333" s="39"/>
    </row>
    <row r="334" spans="11:13">
      <c r="K334" t="s">
        <v>456</v>
      </c>
      <c r="L334" s="39"/>
      <c r="M334" s="39"/>
    </row>
    <row r="335" spans="11:13">
      <c r="K335" t="s">
        <v>1357</v>
      </c>
      <c r="L335" s="39"/>
      <c r="M335" s="39"/>
    </row>
    <row r="336" spans="11:13">
      <c r="K336" t="s">
        <v>160</v>
      </c>
      <c r="L336" s="39">
        <f t="shared" ref="L336:L340" si="98">G298</f>
        <v>19.25</v>
      </c>
      <c r="M336" s="39">
        <f t="shared" ref="M336:M340" si="99">Q298</f>
        <v>18.672222222222224</v>
      </c>
    </row>
    <row r="337" spans="8:13">
      <c r="K337" t="s">
        <v>161</v>
      </c>
      <c r="L337" s="39">
        <f t="shared" si="98"/>
        <v>15.25</v>
      </c>
      <c r="M337" s="39">
        <f t="shared" si="99"/>
        <v>14.772222222222226</v>
      </c>
    </row>
    <row r="338" spans="8:13">
      <c r="K338" t="s">
        <v>507</v>
      </c>
      <c r="L338" s="39">
        <f t="shared" si="98"/>
        <v>19.600000000000001</v>
      </c>
      <c r="M338" s="39">
        <f t="shared" si="99"/>
        <v>19.922222222222221</v>
      </c>
    </row>
    <row r="339" spans="8:13">
      <c r="K339" t="s">
        <v>213</v>
      </c>
      <c r="L339" s="39">
        <f t="shared" si="98"/>
        <v>13.3</v>
      </c>
      <c r="M339" s="39">
        <f t="shared" si="99"/>
        <v>16.222222222222221</v>
      </c>
    </row>
    <row r="340" spans="8:13">
      <c r="K340" t="s">
        <v>146</v>
      </c>
      <c r="L340" s="39">
        <f t="shared" si="98"/>
        <v>15.2</v>
      </c>
      <c r="M340" s="39">
        <f t="shared" si="99"/>
        <v>14.277777777777779</v>
      </c>
    </row>
    <row r="341" spans="8:13">
      <c r="K341" t="s">
        <v>456</v>
      </c>
      <c r="L341" s="39"/>
      <c r="M341" s="39"/>
    </row>
    <row r="342" spans="8:13">
      <c r="K342" t="s">
        <v>1357</v>
      </c>
      <c r="L342" s="39"/>
      <c r="M342" s="39"/>
    </row>
    <row r="343" spans="8:13">
      <c r="K343" t="s">
        <v>160</v>
      </c>
      <c r="L343" s="39">
        <f t="shared" ref="L343:L348" si="100">H298</f>
        <v>16.5</v>
      </c>
      <c r="M343" s="39">
        <f t="shared" ref="M343:M348" si="101">R298</f>
        <v>20.983333333333334</v>
      </c>
    </row>
    <row r="344" spans="8:13">
      <c r="K344" t="s">
        <v>161</v>
      </c>
      <c r="L344" s="39">
        <f t="shared" si="100"/>
        <v>16.100000000000001</v>
      </c>
      <c r="M344" s="39">
        <f t="shared" si="101"/>
        <v>17.083333333333336</v>
      </c>
    </row>
    <row r="345" spans="8:13">
      <c r="K345" t="s">
        <v>507</v>
      </c>
      <c r="L345" s="39">
        <f t="shared" si="100"/>
        <v>29.1</v>
      </c>
      <c r="M345" s="39">
        <f t="shared" si="101"/>
        <v>22.233333333333331</v>
      </c>
    </row>
    <row r="346" spans="8:13">
      <c r="H346" t="s">
        <v>1939</v>
      </c>
      <c r="K346" t="s">
        <v>213</v>
      </c>
      <c r="L346" s="39">
        <f t="shared" si="100"/>
        <v>15.8</v>
      </c>
      <c r="M346" s="39">
        <f t="shared" si="101"/>
        <v>18.533333333333331</v>
      </c>
    </row>
    <row r="347" spans="8:13">
      <c r="K347" t="s">
        <v>146</v>
      </c>
      <c r="L347" s="39">
        <f t="shared" si="100"/>
        <v>17</v>
      </c>
      <c r="M347" s="39">
        <f t="shared" si="101"/>
        <v>16.588888888888889</v>
      </c>
    </row>
    <row r="348" spans="8:13">
      <c r="K348" t="s">
        <v>456</v>
      </c>
      <c r="L348" s="39">
        <f t="shared" si="100"/>
        <v>21.4</v>
      </c>
      <c r="M348" s="39">
        <f t="shared" si="101"/>
        <v>18.899999999999999</v>
      </c>
    </row>
    <row r="349" spans="8:13">
      <c r="K349" t="s">
        <v>1357</v>
      </c>
      <c r="L349" s="39"/>
      <c r="M349" s="39"/>
    </row>
    <row r="350" spans="8:13">
      <c r="K350" t="s">
        <v>160</v>
      </c>
      <c r="L350" s="39">
        <f>I298</f>
        <v>16.5</v>
      </c>
      <c r="M350" s="39">
        <f>S298</f>
        <v>15.761111111111113</v>
      </c>
    </row>
    <row r="351" spans="8:13">
      <c r="K351" t="s">
        <v>161</v>
      </c>
      <c r="L351" s="39">
        <f t="shared" ref="L351:L355" si="102">I299</f>
        <v>14.600000000000001</v>
      </c>
      <c r="M351" s="39">
        <f t="shared" ref="M351:M356" si="103">S299</f>
        <v>11.861111111111114</v>
      </c>
    </row>
    <row r="352" spans="8:13">
      <c r="K352" t="s">
        <v>507</v>
      </c>
      <c r="L352" s="39">
        <f t="shared" si="102"/>
        <v>13.5</v>
      </c>
      <c r="M352" s="39">
        <f t="shared" si="103"/>
        <v>17.011111111111109</v>
      </c>
    </row>
    <row r="353" spans="1:19">
      <c r="K353" t="s">
        <v>213</v>
      </c>
      <c r="L353" s="39">
        <f t="shared" si="102"/>
        <v>12.399999999999999</v>
      </c>
      <c r="M353" s="39">
        <f t="shared" si="103"/>
        <v>13.31111111111111</v>
      </c>
    </row>
    <row r="354" spans="1:19">
      <c r="K354" t="s">
        <v>146</v>
      </c>
      <c r="L354" s="39">
        <f t="shared" si="102"/>
        <v>11.3</v>
      </c>
      <c r="M354" s="39">
        <f t="shared" si="103"/>
        <v>11.366666666666667</v>
      </c>
    </row>
    <row r="355" spans="1:19">
      <c r="K355" t="s">
        <v>456</v>
      </c>
      <c r="L355" s="39">
        <f t="shared" si="102"/>
        <v>9.6</v>
      </c>
      <c r="M355" s="39">
        <f t="shared" si="103"/>
        <v>13.677777777777777</v>
      </c>
    </row>
    <row r="356" spans="1:19">
      <c r="K356" t="s">
        <v>1357</v>
      </c>
      <c r="L356" s="39">
        <f>I304</f>
        <v>11</v>
      </c>
      <c r="M356" s="39">
        <f t="shared" si="103"/>
        <v>8.4555555555555557</v>
      </c>
    </row>
    <row r="357" spans="1:19">
      <c r="K357" t="s">
        <v>672</v>
      </c>
      <c r="L357" s="13">
        <f>CORREL(L308:L356,M308:M356)</f>
        <v>0.80677253755856837</v>
      </c>
      <c r="M357" s="39"/>
    </row>
    <row r="359" spans="1:19">
      <c r="A359" s="11" t="s">
        <v>1948</v>
      </c>
      <c r="B359" t="s">
        <v>1363</v>
      </c>
      <c r="C359" t="s">
        <v>1364</v>
      </c>
      <c r="D359" t="s">
        <v>1365</v>
      </c>
      <c r="E359" t="s">
        <v>1366</v>
      </c>
      <c r="F359" t="s">
        <v>1367</v>
      </c>
      <c r="G359" t="s">
        <v>1368</v>
      </c>
      <c r="H359" t="s">
        <v>624</v>
      </c>
      <c r="I359" t="s">
        <v>1357</v>
      </c>
      <c r="J359" t="s">
        <v>1369</v>
      </c>
      <c r="L359" t="s">
        <v>1358</v>
      </c>
      <c r="M359" t="s">
        <v>1364</v>
      </c>
      <c r="N359" t="s">
        <v>1365</v>
      </c>
      <c r="O359" t="s">
        <v>1366</v>
      </c>
      <c r="P359" t="s">
        <v>1367</v>
      </c>
      <c r="Q359" t="s">
        <v>1368</v>
      </c>
      <c r="R359" t="s">
        <v>624</v>
      </c>
      <c r="S359" t="s">
        <v>1357</v>
      </c>
    </row>
    <row r="360" spans="1:19">
      <c r="B360" t="s">
        <v>1364</v>
      </c>
      <c r="C360" s="39"/>
      <c r="D360" s="39">
        <v>15.3</v>
      </c>
      <c r="E360" s="39">
        <v>29</v>
      </c>
      <c r="F360" s="39">
        <v>22.1</v>
      </c>
      <c r="G360" s="39">
        <v>19.25</v>
      </c>
      <c r="H360" s="39">
        <v>16.5</v>
      </c>
      <c r="I360" s="39">
        <v>16.5</v>
      </c>
      <c r="J360" s="39">
        <f>AVERAGE(C360:I360,C360:C366)</f>
        <v>19.775000000000002</v>
      </c>
      <c r="L360" t="s">
        <v>1364</v>
      </c>
      <c r="M360" s="39"/>
      <c r="N360" s="39">
        <f t="shared" ref="N360:S360" si="104">$J$367+$J369+D$376</f>
        <v>18.340000000000003</v>
      </c>
      <c r="O360" s="39">
        <f t="shared" si="104"/>
        <v>25.610000000000003</v>
      </c>
      <c r="P360" s="39">
        <f t="shared" si="104"/>
        <v>20.870000000000005</v>
      </c>
      <c r="Q360" s="39">
        <f t="shared" si="104"/>
        <v>18.570000000000004</v>
      </c>
      <c r="R360" s="39">
        <f t="shared" si="104"/>
        <v>20.250000000000004</v>
      </c>
      <c r="S360" s="39">
        <f t="shared" si="104"/>
        <v>15.010000000000002</v>
      </c>
    </row>
    <row r="361" spans="1:19">
      <c r="B361" t="s">
        <v>1365</v>
      </c>
      <c r="C361" s="39"/>
      <c r="D361" s="39"/>
      <c r="E361" s="39">
        <v>14.7</v>
      </c>
      <c r="F361" s="39">
        <v>18.600000000000001</v>
      </c>
      <c r="G361" s="39">
        <v>15.25</v>
      </c>
      <c r="H361" s="39">
        <v>16.100000000000001</v>
      </c>
      <c r="I361" s="39">
        <v>14.600000000000001</v>
      </c>
      <c r="J361" s="39">
        <f>AVERAGE(C361:I361,D360:D366)</f>
        <v>15.758333333333333</v>
      </c>
      <c r="L361" t="s">
        <v>1365</v>
      </c>
      <c r="M361" s="39"/>
      <c r="N361" s="39"/>
      <c r="O361" s="39">
        <f>$J$367+$J370+E$376</f>
        <v>20.79</v>
      </c>
      <c r="P361" s="39">
        <f>$J$367+$J370+F$376</f>
        <v>16.05</v>
      </c>
      <c r="Q361" s="39">
        <f>$J$367+$J370+G$376</f>
        <v>13.75</v>
      </c>
      <c r="R361" s="39">
        <f>$J$367+$J370+H$376</f>
        <v>15.430000000000001</v>
      </c>
      <c r="S361" s="39">
        <f>$J$367+$J370+I$376</f>
        <v>10.189999999999998</v>
      </c>
    </row>
    <row r="362" spans="1:19">
      <c r="B362" t="s">
        <v>1366</v>
      </c>
      <c r="C362" s="39"/>
      <c r="D362" s="39"/>
      <c r="E362" s="39"/>
      <c r="F362" s="39">
        <v>25</v>
      </c>
      <c r="G362" s="39">
        <v>19.600000000000001</v>
      </c>
      <c r="H362" s="39">
        <v>29.1</v>
      </c>
      <c r="I362" s="39">
        <v>13.5</v>
      </c>
      <c r="J362" s="39">
        <f>AVERAGE(C362:I362,E360:E366)</f>
        <v>21.816666666666666</v>
      </c>
      <c r="L362" t="s">
        <v>1366</v>
      </c>
      <c r="M362" s="39"/>
      <c r="N362" s="39"/>
      <c r="O362" s="39"/>
      <c r="P362" s="39">
        <f>$J$367+$J371+F$376</f>
        <v>23.32</v>
      </c>
      <c r="Q362" s="39">
        <f>$J$367+$J371+G$376</f>
        <v>21.02</v>
      </c>
      <c r="R362" s="39">
        <f>$J$367+$J371+H$376</f>
        <v>22.7</v>
      </c>
      <c r="S362" s="39">
        <f>$J$367+$J371+I$376</f>
        <v>17.459999999999997</v>
      </c>
    </row>
    <row r="363" spans="1:19">
      <c r="B363" t="s">
        <v>1367</v>
      </c>
      <c r="C363" s="39"/>
      <c r="D363" s="39"/>
      <c r="E363" s="39"/>
      <c r="F363" s="39"/>
      <c r="G363" s="39">
        <v>13.3</v>
      </c>
      <c r="H363" s="39">
        <v>15.8</v>
      </c>
      <c r="I363" s="39">
        <v>12.399999999999999</v>
      </c>
      <c r="J363" s="39">
        <f>AVERAGE(C363:I363,F360:F366)</f>
        <v>17.866666666666667</v>
      </c>
      <c r="L363" t="s">
        <v>1367</v>
      </c>
      <c r="M363" s="39"/>
      <c r="N363" s="39"/>
      <c r="O363" s="39"/>
      <c r="P363" s="39"/>
      <c r="Q363" s="39">
        <f>$J$367+$J372+G$376</f>
        <v>16.28</v>
      </c>
      <c r="R363" s="39">
        <f>$J$367+$J372+H$376</f>
        <v>17.96</v>
      </c>
      <c r="S363" s="39">
        <f>$J$367+$J372+I$376</f>
        <v>12.719999999999999</v>
      </c>
    </row>
    <row r="364" spans="1:19">
      <c r="B364" t="s">
        <v>1368</v>
      </c>
      <c r="C364" s="39"/>
      <c r="D364" s="39"/>
      <c r="E364" s="39"/>
      <c r="F364" s="39"/>
      <c r="G364" s="39"/>
      <c r="H364" s="39">
        <v>17</v>
      </c>
      <c r="I364" s="39">
        <v>11.3</v>
      </c>
      <c r="J364" s="39">
        <f>AVERAGE(C364:I364,G360:G366)</f>
        <v>15.950000000000001</v>
      </c>
      <c r="L364" t="s">
        <v>1368</v>
      </c>
      <c r="M364" s="39"/>
      <c r="N364" s="39"/>
      <c r="O364" s="39"/>
      <c r="P364" s="39"/>
      <c r="Q364" s="39"/>
      <c r="R364" s="39">
        <f>$J$367+$J373+H$376</f>
        <v>15.660000000000002</v>
      </c>
      <c r="S364" s="39">
        <f>$J$367+$J373+I$376</f>
        <v>10.419999999999998</v>
      </c>
    </row>
    <row r="365" spans="1:19">
      <c r="B365" t="s">
        <v>624</v>
      </c>
      <c r="C365" s="39"/>
      <c r="D365" s="39"/>
      <c r="E365" s="39"/>
      <c r="F365" s="39"/>
      <c r="G365" s="39"/>
      <c r="H365" s="39"/>
      <c r="I365" s="39">
        <v>9.6</v>
      </c>
      <c r="J365" s="39">
        <f>AVERAGE(C365:I365,H360:H366)</f>
        <v>17.350000000000001</v>
      </c>
      <c r="L365" t="s">
        <v>624</v>
      </c>
      <c r="M365" s="39"/>
      <c r="N365" s="39"/>
      <c r="O365" s="39"/>
      <c r="P365" s="39"/>
      <c r="Q365" s="39"/>
      <c r="R365" s="39"/>
      <c r="S365" s="39">
        <f>$J$367+$J374+I$376</f>
        <v>12.099999999999998</v>
      </c>
    </row>
    <row r="366" spans="1:19">
      <c r="B366" t="s">
        <v>1357</v>
      </c>
      <c r="C366" s="39"/>
      <c r="D366" s="39"/>
      <c r="E366" s="39"/>
      <c r="F366" s="39"/>
      <c r="G366" s="39"/>
      <c r="H366" s="39"/>
      <c r="I366" s="39"/>
      <c r="J366" s="39">
        <f>AVERAGE(C366:I366,I360:I366)</f>
        <v>12.983333333333333</v>
      </c>
      <c r="L366" t="s">
        <v>1357</v>
      </c>
      <c r="M366" s="39"/>
      <c r="N366" s="39"/>
      <c r="O366" s="39"/>
      <c r="P366" s="39"/>
      <c r="Q366" s="39"/>
      <c r="R366" s="39"/>
      <c r="S366" s="39"/>
    </row>
    <row r="367" spans="1:19">
      <c r="B367" t="s">
        <v>1370</v>
      </c>
      <c r="I367" s="39">
        <f>AVERAGE(C360:I366)</f>
        <v>17.357142857142858</v>
      </c>
      <c r="J367" s="39">
        <f>AVERAGE(C360:I366)</f>
        <v>17.357142857142858</v>
      </c>
      <c r="L367" t="s">
        <v>672</v>
      </c>
      <c r="M367" s="13">
        <f>CORREL(C360:I366,M360:S366)</f>
        <v>0.8090606559243495</v>
      </c>
    </row>
    <row r="368" spans="1:19">
      <c r="B368" t="s">
        <v>1371</v>
      </c>
      <c r="C368" t="s">
        <v>1364</v>
      </c>
      <c r="D368" t="s">
        <v>1365</v>
      </c>
      <c r="E368" t="s">
        <v>1366</v>
      </c>
      <c r="F368" t="s">
        <v>1367</v>
      </c>
      <c r="G368" t="s">
        <v>1368</v>
      </c>
      <c r="H368" t="s">
        <v>624</v>
      </c>
      <c r="I368" t="s">
        <v>1357</v>
      </c>
      <c r="J368" t="s">
        <v>1372</v>
      </c>
    </row>
    <row r="369" spans="2:13">
      <c r="B369" t="s">
        <v>1364</v>
      </c>
      <c r="C369" s="39"/>
      <c r="D369" s="39">
        <f>D360-$J$367-$J369-D$376</f>
        <v>-3.04</v>
      </c>
      <c r="E369" s="39">
        <f t="shared" ref="E369:I369" si="105">E360-$J$367-$J369-E$376</f>
        <v>3.3899999999999988</v>
      </c>
      <c r="F369" s="39">
        <f t="shared" si="105"/>
        <v>1.2299999999999989</v>
      </c>
      <c r="G369" s="39">
        <f t="shared" si="105"/>
        <v>0.67999999999999683</v>
      </c>
      <c r="H369" s="39">
        <f t="shared" si="105"/>
        <v>-3.7500000000000036</v>
      </c>
      <c r="I369" s="39">
        <f t="shared" si="105"/>
        <v>1.4899999999999989</v>
      </c>
      <c r="J369" s="39">
        <f>(J360-$J$367)*6/5</f>
        <v>2.9014285714285735</v>
      </c>
      <c r="L369" t="s">
        <v>515</v>
      </c>
      <c r="M369" t="s">
        <v>1358</v>
      </c>
    </row>
    <row r="370" spans="2:13">
      <c r="B370" t="s">
        <v>1365</v>
      </c>
      <c r="C370" s="39"/>
      <c r="D370" s="39"/>
      <c r="E370" s="39">
        <f>E361-$J$367-$J370-E$376</f>
        <v>-6.089999999999999</v>
      </c>
      <c r="F370" s="39">
        <f>F361-$J$367-$J370-F$376</f>
        <v>2.5500000000000025</v>
      </c>
      <c r="G370" s="39">
        <f>G361-$J$367-$J370-G$376</f>
        <v>1.5</v>
      </c>
      <c r="H370" s="39">
        <f>H361-$J$367-$J370-H$376</f>
        <v>0.67000000000000093</v>
      </c>
      <c r="I370" s="39">
        <f>I361-$J$367-$J370-I$376</f>
        <v>4.4100000000000037</v>
      </c>
      <c r="J370" s="39">
        <f t="shared" ref="J370:J375" si="106">(J361-$J$367)*6/5</f>
        <v>-1.9185714285714297</v>
      </c>
      <c r="K370" t="s">
        <v>160</v>
      </c>
      <c r="L370" s="39"/>
      <c r="M370" s="39"/>
    </row>
    <row r="371" spans="2:13">
      <c r="B371" t="s">
        <v>1366</v>
      </c>
      <c r="C371" s="39"/>
      <c r="D371" s="39"/>
      <c r="E371" s="39"/>
      <c r="F371" s="39">
        <f>F362-$J$367-$J371-F$376</f>
        <v>1.6800000000000004</v>
      </c>
      <c r="G371" s="39">
        <f>G362-$J$367-$J371-G$376</f>
        <v>-1.4199999999999988</v>
      </c>
      <c r="H371" s="39">
        <f>H362-$J$367-$J371-H$376</f>
        <v>6.4</v>
      </c>
      <c r="I371" s="39">
        <f>I362-$J$367-$J371-I$376</f>
        <v>-3.9599999999999982</v>
      </c>
      <c r="J371" s="39">
        <f t="shared" si="106"/>
        <v>5.3514285714285705</v>
      </c>
      <c r="K371" t="s">
        <v>161</v>
      </c>
      <c r="L371" s="39"/>
      <c r="M371" s="39"/>
    </row>
    <row r="372" spans="2:13">
      <c r="B372" t="s">
        <v>1367</v>
      </c>
      <c r="C372" s="39"/>
      <c r="D372" s="39"/>
      <c r="E372" s="39"/>
      <c r="F372" s="39"/>
      <c r="G372" s="39">
        <f>G363-$J$367-$J372-G$376</f>
        <v>-2.9800000000000004</v>
      </c>
      <c r="H372" s="39">
        <f>H363-$J$367-$J372-H$376</f>
        <v>-2.1600000000000006</v>
      </c>
      <c r="I372" s="39">
        <f>I363-$J$367-$J372-I$376</f>
        <v>-0.32000000000000028</v>
      </c>
      <c r="J372" s="39">
        <f t="shared" si="106"/>
        <v>0.61142857142857143</v>
      </c>
      <c r="K372" t="s">
        <v>507</v>
      </c>
      <c r="L372" s="39"/>
      <c r="M372" s="39"/>
    </row>
    <row r="373" spans="2:13">
      <c r="B373" t="s">
        <v>1368</v>
      </c>
      <c r="C373" s="39"/>
      <c r="D373" s="39"/>
      <c r="E373" s="39"/>
      <c r="F373" s="39"/>
      <c r="G373" s="39"/>
      <c r="H373" s="39">
        <f>H364-$J$367-$J373-H$376</f>
        <v>1.3399999999999979</v>
      </c>
      <c r="I373" s="39">
        <f>I364-$J$367-$J373-I$376</f>
        <v>0.88000000000000078</v>
      </c>
      <c r="J373" s="39">
        <f t="shared" si="106"/>
        <v>-1.6885714285714279</v>
      </c>
      <c r="K373" t="s">
        <v>213</v>
      </c>
      <c r="L373" s="39"/>
      <c r="M373" s="39"/>
    </row>
    <row r="374" spans="2:13">
      <c r="B374" t="s">
        <v>624</v>
      </c>
      <c r="C374" s="39"/>
      <c r="D374" s="39"/>
      <c r="E374" s="39"/>
      <c r="F374" s="39"/>
      <c r="G374" s="39"/>
      <c r="H374" s="39"/>
      <c r="I374" s="39">
        <f>I365-$J$367-$J374-I$376</f>
        <v>-2.5000000000000009</v>
      </c>
      <c r="J374" s="39">
        <f t="shared" si="106"/>
        <v>-8.5714285714274755E-3</v>
      </c>
      <c r="K374" t="s">
        <v>146</v>
      </c>
      <c r="L374" s="39"/>
      <c r="M374" s="39"/>
    </row>
    <row r="375" spans="2:13">
      <c r="B375" t="s">
        <v>1357</v>
      </c>
      <c r="C375" s="39"/>
      <c r="D375" s="39"/>
      <c r="E375" s="39"/>
      <c r="F375" s="39"/>
      <c r="G375" s="39"/>
      <c r="H375" s="39"/>
      <c r="I375" s="39"/>
      <c r="J375" s="39">
        <f t="shared" si="106"/>
        <v>-5.24857142857143</v>
      </c>
      <c r="K375" t="s">
        <v>456</v>
      </c>
      <c r="L375" s="39"/>
      <c r="M375" s="39"/>
    </row>
    <row r="376" spans="2:13">
      <c r="B376" t="s">
        <v>1372</v>
      </c>
      <c r="C376" s="39">
        <f>J369</f>
        <v>2.9014285714285735</v>
      </c>
      <c r="D376" s="39">
        <f>J370</f>
        <v>-1.9185714285714297</v>
      </c>
      <c r="E376" s="39">
        <f>J371</f>
        <v>5.3514285714285705</v>
      </c>
      <c r="F376" s="39">
        <f>J372</f>
        <v>0.61142857142857143</v>
      </c>
      <c r="G376" s="39">
        <f>J373</f>
        <v>-1.6885714285714279</v>
      </c>
      <c r="H376" s="39">
        <f>J374</f>
        <v>-8.5714285714274755E-3</v>
      </c>
      <c r="I376" s="39">
        <f>J375</f>
        <v>-5.24857142857143</v>
      </c>
      <c r="J376" s="39">
        <f>SUM(C370:I370,D369:D375)</f>
        <v>7.9936057773011271E-15</v>
      </c>
      <c r="K376" t="s">
        <v>1357</v>
      </c>
      <c r="L376" s="39"/>
      <c r="M376" s="39"/>
    </row>
    <row r="377" spans="2:13">
      <c r="K377" t="s">
        <v>160</v>
      </c>
      <c r="L377" s="39">
        <f t="shared" ref="L377" si="107">D360</f>
        <v>15.3</v>
      </c>
      <c r="M377" s="39">
        <f t="shared" ref="M377" si="108">N360</f>
        <v>18.340000000000003</v>
      </c>
    </row>
    <row r="378" spans="2:13">
      <c r="K378" t="s">
        <v>161</v>
      </c>
      <c r="L378" s="39"/>
      <c r="M378" s="39"/>
    </row>
    <row r="379" spans="2:13">
      <c r="K379" t="s">
        <v>507</v>
      </c>
      <c r="L379" s="39"/>
      <c r="M379" s="39"/>
    </row>
    <row r="380" spans="2:13">
      <c r="K380" t="s">
        <v>213</v>
      </c>
      <c r="L380" s="39"/>
      <c r="M380" s="39"/>
    </row>
    <row r="381" spans="2:13">
      <c r="K381" t="s">
        <v>146</v>
      </c>
      <c r="L381" s="39"/>
      <c r="M381" s="39"/>
    </row>
    <row r="382" spans="2:13">
      <c r="K382" t="s">
        <v>456</v>
      </c>
      <c r="L382" s="39"/>
      <c r="M382" s="39"/>
    </row>
    <row r="383" spans="2:13">
      <c r="K383" t="s">
        <v>1357</v>
      </c>
      <c r="L383" s="39"/>
      <c r="M383" s="39"/>
    </row>
    <row r="384" spans="2:13">
      <c r="K384" t="s">
        <v>160</v>
      </c>
      <c r="L384" s="39">
        <f t="shared" ref="L384:L385" si="109">E360</f>
        <v>29</v>
      </c>
      <c r="M384" s="39">
        <f t="shared" ref="M384:M385" si="110">O360</f>
        <v>25.610000000000003</v>
      </c>
    </row>
    <row r="385" spans="11:13">
      <c r="K385" t="s">
        <v>161</v>
      </c>
      <c r="L385" s="39">
        <f t="shared" si="109"/>
        <v>14.7</v>
      </c>
      <c r="M385" s="39">
        <f t="shared" si="110"/>
        <v>20.79</v>
      </c>
    </row>
    <row r="386" spans="11:13">
      <c r="K386" t="s">
        <v>507</v>
      </c>
      <c r="L386" s="39"/>
      <c r="M386" s="39"/>
    </row>
    <row r="387" spans="11:13">
      <c r="K387" t="s">
        <v>213</v>
      </c>
      <c r="L387" s="39"/>
      <c r="M387" s="39"/>
    </row>
    <row r="388" spans="11:13">
      <c r="K388" t="s">
        <v>146</v>
      </c>
      <c r="L388" s="39"/>
      <c r="M388" s="39"/>
    </row>
    <row r="389" spans="11:13">
      <c r="K389" t="s">
        <v>456</v>
      </c>
      <c r="L389" s="39"/>
      <c r="M389" s="39"/>
    </row>
    <row r="390" spans="11:13">
      <c r="K390" t="s">
        <v>1357</v>
      </c>
      <c r="L390" s="39"/>
      <c r="M390" s="39"/>
    </row>
    <row r="391" spans="11:13">
      <c r="K391" t="s">
        <v>160</v>
      </c>
      <c r="L391" s="39">
        <f t="shared" ref="L391:L393" si="111">F360</f>
        <v>22.1</v>
      </c>
      <c r="M391" s="39">
        <f t="shared" ref="M391:M393" si="112">P360</f>
        <v>20.870000000000005</v>
      </c>
    </row>
    <row r="392" spans="11:13">
      <c r="K392" t="s">
        <v>161</v>
      </c>
      <c r="L392" s="39">
        <f t="shared" si="111"/>
        <v>18.600000000000001</v>
      </c>
      <c r="M392" s="39">
        <f t="shared" si="112"/>
        <v>16.05</v>
      </c>
    </row>
    <row r="393" spans="11:13">
      <c r="K393" t="s">
        <v>507</v>
      </c>
      <c r="L393" s="39">
        <f t="shared" si="111"/>
        <v>25</v>
      </c>
      <c r="M393" s="39">
        <f t="shared" si="112"/>
        <v>23.32</v>
      </c>
    </row>
    <row r="394" spans="11:13">
      <c r="K394" t="s">
        <v>213</v>
      </c>
      <c r="L394" s="39"/>
      <c r="M394" s="39"/>
    </row>
    <row r="395" spans="11:13">
      <c r="K395" t="s">
        <v>146</v>
      </c>
      <c r="L395" s="39"/>
      <c r="M395" s="39"/>
    </row>
    <row r="396" spans="11:13">
      <c r="K396" t="s">
        <v>456</v>
      </c>
      <c r="L396" s="39"/>
      <c r="M396" s="39"/>
    </row>
    <row r="397" spans="11:13">
      <c r="K397" t="s">
        <v>1357</v>
      </c>
      <c r="L397" s="39"/>
      <c r="M397" s="39"/>
    </row>
    <row r="398" spans="11:13">
      <c r="K398" t="s">
        <v>160</v>
      </c>
      <c r="L398" s="39">
        <f t="shared" ref="L398:L401" si="113">G360</f>
        <v>19.25</v>
      </c>
      <c r="M398" s="39">
        <f t="shared" ref="M398:M401" si="114">Q360</f>
        <v>18.570000000000004</v>
      </c>
    </row>
    <row r="399" spans="11:13">
      <c r="K399" t="s">
        <v>161</v>
      </c>
      <c r="L399" s="39">
        <f t="shared" si="113"/>
        <v>15.25</v>
      </c>
      <c r="M399" s="39">
        <f t="shared" si="114"/>
        <v>13.75</v>
      </c>
    </row>
    <row r="400" spans="11:13">
      <c r="K400" t="s">
        <v>507</v>
      </c>
      <c r="L400" s="39">
        <f t="shared" si="113"/>
        <v>19.600000000000001</v>
      </c>
      <c r="M400" s="39">
        <f t="shared" si="114"/>
        <v>21.02</v>
      </c>
    </row>
    <row r="401" spans="11:13">
      <c r="K401" t="s">
        <v>213</v>
      </c>
      <c r="L401" s="39">
        <f t="shared" si="113"/>
        <v>13.3</v>
      </c>
      <c r="M401" s="39">
        <f t="shared" si="114"/>
        <v>16.28</v>
      </c>
    </row>
    <row r="402" spans="11:13">
      <c r="K402" t="s">
        <v>146</v>
      </c>
      <c r="L402" s="39"/>
      <c r="M402" s="39"/>
    </row>
    <row r="403" spans="11:13">
      <c r="K403" t="s">
        <v>456</v>
      </c>
      <c r="L403" s="39"/>
      <c r="M403" s="39"/>
    </row>
    <row r="404" spans="11:13">
      <c r="K404" t="s">
        <v>1357</v>
      </c>
      <c r="L404" s="39"/>
      <c r="M404" s="39"/>
    </row>
    <row r="405" spans="11:13">
      <c r="K405" t="s">
        <v>160</v>
      </c>
      <c r="L405" s="39">
        <f t="shared" ref="L405:L409" si="115">H360</f>
        <v>16.5</v>
      </c>
      <c r="M405" s="39">
        <f t="shared" ref="M405:M409" si="116">R360</f>
        <v>20.250000000000004</v>
      </c>
    </row>
    <row r="406" spans="11:13">
      <c r="K406" t="s">
        <v>161</v>
      </c>
      <c r="L406" s="39">
        <f t="shared" si="115"/>
        <v>16.100000000000001</v>
      </c>
      <c r="M406" s="39">
        <f t="shared" si="116"/>
        <v>15.430000000000001</v>
      </c>
    </row>
    <row r="407" spans="11:13">
      <c r="K407" t="s">
        <v>507</v>
      </c>
      <c r="L407" s="39">
        <f t="shared" si="115"/>
        <v>29.1</v>
      </c>
      <c r="M407" s="39">
        <f t="shared" si="116"/>
        <v>22.7</v>
      </c>
    </row>
    <row r="408" spans="11:13">
      <c r="K408" t="s">
        <v>213</v>
      </c>
      <c r="L408" s="39">
        <f t="shared" si="115"/>
        <v>15.8</v>
      </c>
      <c r="M408" s="39">
        <f t="shared" si="116"/>
        <v>17.96</v>
      </c>
    </row>
    <row r="409" spans="11:13">
      <c r="K409" t="s">
        <v>146</v>
      </c>
      <c r="L409" s="39">
        <f t="shared" si="115"/>
        <v>17</v>
      </c>
      <c r="M409" s="39">
        <f t="shared" si="116"/>
        <v>15.660000000000002</v>
      </c>
    </row>
    <row r="410" spans="11:13">
      <c r="K410" t="s">
        <v>456</v>
      </c>
      <c r="L410" s="39"/>
      <c r="M410" s="39"/>
    </row>
    <row r="411" spans="11:13">
      <c r="K411" t="s">
        <v>1357</v>
      </c>
      <c r="L411" s="39"/>
      <c r="M411" s="39"/>
    </row>
    <row r="412" spans="11:13">
      <c r="K412" t="s">
        <v>160</v>
      </c>
      <c r="L412" s="39">
        <f>I360</f>
        <v>16.5</v>
      </c>
      <c r="M412" s="39">
        <f>S360</f>
        <v>15.010000000000002</v>
      </c>
    </row>
    <row r="413" spans="11:13">
      <c r="K413" t="s">
        <v>161</v>
      </c>
      <c r="L413" s="39">
        <f t="shared" ref="L413:L417" si="117">I361</f>
        <v>14.600000000000001</v>
      </c>
      <c r="M413" s="39">
        <f t="shared" ref="M413:M417" si="118">S361</f>
        <v>10.189999999999998</v>
      </c>
    </row>
    <row r="414" spans="11:13">
      <c r="K414" t="s">
        <v>507</v>
      </c>
      <c r="L414" s="39">
        <f t="shared" si="117"/>
        <v>13.5</v>
      </c>
      <c r="M414" s="39">
        <f t="shared" si="118"/>
        <v>17.459999999999997</v>
      </c>
    </row>
    <row r="415" spans="11:13">
      <c r="K415" t="s">
        <v>213</v>
      </c>
      <c r="L415" s="39">
        <f t="shared" si="117"/>
        <v>12.399999999999999</v>
      </c>
      <c r="M415" s="39">
        <f t="shared" si="118"/>
        <v>12.719999999999999</v>
      </c>
    </row>
    <row r="416" spans="11:13">
      <c r="K416" t="s">
        <v>146</v>
      </c>
      <c r="L416" s="39">
        <f t="shared" si="117"/>
        <v>11.3</v>
      </c>
      <c r="M416" s="39">
        <f t="shared" si="118"/>
        <v>10.419999999999998</v>
      </c>
    </row>
    <row r="417" spans="11:13">
      <c r="K417" t="s">
        <v>456</v>
      </c>
      <c r="L417" s="39">
        <f t="shared" si="117"/>
        <v>9.6</v>
      </c>
      <c r="M417" s="39">
        <f t="shared" si="118"/>
        <v>12.099999999999998</v>
      </c>
    </row>
    <row r="418" spans="11:13">
      <c r="K418" t="s">
        <v>1357</v>
      </c>
      <c r="L418" s="39"/>
      <c r="M418" s="39"/>
    </row>
    <row r="419" spans="11:13">
      <c r="K419" t="s">
        <v>672</v>
      </c>
      <c r="L419" s="13">
        <f>CORREL(L370:L418,M370:M418)</f>
        <v>0.80906065592434928</v>
      </c>
      <c r="M419" s="39"/>
    </row>
  </sheetData>
  <phoneticPr fontId="7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2"/>
  <sheetViews>
    <sheetView topLeftCell="A85" workbookViewId="0">
      <selection activeCell="J109" sqref="J109"/>
    </sheetView>
  </sheetViews>
  <sheetFormatPr defaultRowHeight="14.4"/>
  <cols>
    <col min="1" max="2" width="8.88671875" style="50"/>
    <col min="3" max="7" width="9" style="50" bestFit="1" customWidth="1"/>
    <col min="8" max="8" width="9.5546875" style="50" bestFit="1" customWidth="1"/>
    <col min="9" max="16384" width="8.88671875" style="50"/>
  </cols>
  <sheetData>
    <row r="1" spans="1:7">
      <c r="A1" s="49" t="s">
        <v>1375</v>
      </c>
      <c r="B1" s="50" t="s">
        <v>1376</v>
      </c>
    </row>
    <row r="3" spans="1:7">
      <c r="A3" s="49" t="s">
        <v>1377</v>
      </c>
    </row>
    <row r="4" spans="1:7">
      <c r="B4" s="50" t="s">
        <v>1378</v>
      </c>
      <c r="C4" s="50" t="s">
        <v>1379</v>
      </c>
      <c r="D4" s="83" t="s">
        <v>1959</v>
      </c>
      <c r="E4" s="83" t="s">
        <v>1949</v>
      </c>
      <c r="F4" s="83" t="s">
        <v>1950</v>
      </c>
    </row>
    <row r="5" spans="1:7">
      <c r="A5" s="50" t="s">
        <v>1380</v>
      </c>
      <c r="B5" s="51">
        <v>-1</v>
      </c>
      <c r="C5" s="50">
        <v>40</v>
      </c>
      <c r="D5" s="83" t="s">
        <v>1951</v>
      </c>
      <c r="E5" s="50">
        <f>COUNT(B6:B29)</f>
        <v>24</v>
      </c>
      <c r="F5" s="50">
        <f>COUNT(B30:B49)</f>
        <v>20</v>
      </c>
      <c r="G5" s="83"/>
    </row>
    <row r="6" spans="1:7">
      <c r="A6" s="50" t="s">
        <v>1381</v>
      </c>
      <c r="B6" s="51">
        <v>0</v>
      </c>
      <c r="C6" s="50">
        <v>41</v>
      </c>
      <c r="D6" s="83" t="s">
        <v>1952</v>
      </c>
      <c r="E6" s="52">
        <f>AVERAGE(C6:C29)</f>
        <v>42.666666666666664</v>
      </c>
      <c r="F6" s="52">
        <f>AVERAGE(C30:C49)</f>
        <v>42.8</v>
      </c>
      <c r="G6" s="83"/>
    </row>
    <row r="7" spans="1:7">
      <c r="A7" s="50" t="s">
        <v>1382</v>
      </c>
      <c r="B7" s="51">
        <v>0</v>
      </c>
      <c r="C7" s="50">
        <v>41</v>
      </c>
      <c r="D7" s="83" t="s">
        <v>1953</v>
      </c>
      <c r="E7" s="52">
        <f>VAR(C6:C29)</f>
        <v>5.0144927536231894</v>
      </c>
      <c r="F7" s="83">
        <f>VAR(C30:C49)</f>
        <v>6.3789473684210547</v>
      </c>
    </row>
    <row r="8" spans="1:7">
      <c r="A8" s="50" t="s">
        <v>1383</v>
      </c>
      <c r="B8" s="51">
        <v>0</v>
      </c>
      <c r="C8" s="50">
        <v>44</v>
      </c>
      <c r="D8" s="83" t="s">
        <v>1954</v>
      </c>
      <c r="E8" s="83">
        <f>STDEV(C6:C29)</f>
        <v>2.2393063108076996</v>
      </c>
      <c r="F8" s="83">
        <f>STDEV(C30:C49)</f>
        <v>2.5256578090511499</v>
      </c>
    </row>
    <row r="9" spans="1:7">
      <c r="A9" s="50" t="s">
        <v>1384</v>
      </c>
      <c r="B9" s="51">
        <v>0</v>
      </c>
      <c r="C9" s="50">
        <v>42</v>
      </c>
      <c r="D9" s="83" t="s">
        <v>1958</v>
      </c>
      <c r="E9" s="83">
        <f>((E5-1)*E7+(F5-1)*F7)/(E5+F5-2)</f>
        <v>5.6317460317460339</v>
      </c>
      <c r="F9" s="83"/>
      <c r="G9" s="83"/>
    </row>
    <row r="10" spans="1:7">
      <c r="A10" s="50" t="s">
        <v>1385</v>
      </c>
      <c r="B10" s="51">
        <v>0</v>
      </c>
      <c r="C10" s="50">
        <v>43</v>
      </c>
      <c r="D10" s="82" t="s">
        <v>1960</v>
      </c>
      <c r="E10" s="84">
        <f>SQRT((1/E5+1/F5)*E9)</f>
        <v>0.71850079070477468</v>
      </c>
      <c r="F10" s="83"/>
      <c r="G10" s="83"/>
    </row>
    <row r="11" spans="1:7">
      <c r="A11" s="50" t="s">
        <v>1386</v>
      </c>
      <c r="B11" s="51">
        <v>0</v>
      </c>
      <c r="C11" s="50">
        <v>44</v>
      </c>
      <c r="D11" s="83" t="s">
        <v>1955</v>
      </c>
      <c r="E11" s="84">
        <f>ABS(E6-F6)/E10</f>
        <v>0.18557158886707237</v>
      </c>
      <c r="F11" s="83"/>
      <c r="G11" s="83"/>
    </row>
    <row r="12" spans="1:7">
      <c r="A12" s="50" t="s">
        <v>1387</v>
      </c>
      <c r="B12" s="51">
        <v>0</v>
      </c>
      <c r="C12" s="50">
        <v>41</v>
      </c>
      <c r="D12" s="83" t="s">
        <v>1956</v>
      </c>
      <c r="E12" s="84">
        <f>TDIST(E11,E5+F5-2,2)</f>
        <v>0.8536740499501364</v>
      </c>
      <c r="F12" s="83"/>
      <c r="G12" s="83"/>
    </row>
    <row r="13" spans="1:7">
      <c r="A13" s="50" t="s">
        <v>1388</v>
      </c>
      <c r="B13" s="51">
        <v>0</v>
      </c>
      <c r="C13" s="50">
        <v>41</v>
      </c>
      <c r="D13" s="83" t="s">
        <v>1957</v>
      </c>
      <c r="E13" s="84">
        <f>TTEST(C6:C29,C30:C49,2,2)</f>
        <v>0.85367404995013763</v>
      </c>
      <c r="F13" s="83"/>
      <c r="G13" s="83"/>
    </row>
    <row r="14" spans="1:7">
      <c r="A14" s="50" t="s">
        <v>1389</v>
      </c>
      <c r="B14" s="51">
        <v>0</v>
      </c>
      <c r="C14" s="50">
        <v>44</v>
      </c>
      <c r="D14" s="83"/>
      <c r="E14" s="83"/>
      <c r="F14" s="83"/>
      <c r="G14" s="83"/>
    </row>
    <row r="15" spans="1:7">
      <c r="A15" s="50" t="s">
        <v>1390</v>
      </c>
      <c r="B15" s="51">
        <v>0</v>
      </c>
      <c r="C15" s="50">
        <v>45</v>
      </c>
    </row>
    <row r="16" spans="1:7">
      <c r="A16" s="50" t="s">
        <v>1391</v>
      </c>
      <c r="B16" s="51">
        <v>0</v>
      </c>
      <c r="C16" s="50">
        <v>41</v>
      </c>
    </row>
    <row r="17" spans="1:8">
      <c r="A17" s="50" t="s">
        <v>1392</v>
      </c>
      <c r="B17" s="51">
        <v>0</v>
      </c>
      <c r="C17" s="50">
        <v>41</v>
      </c>
    </row>
    <row r="18" spans="1:8">
      <c r="A18" s="50" t="s">
        <v>1393</v>
      </c>
      <c r="B18" s="51">
        <v>0</v>
      </c>
      <c r="C18" s="50">
        <v>48</v>
      </c>
      <c r="D18" s="82"/>
    </row>
    <row r="19" spans="1:8">
      <c r="A19" s="50" t="s">
        <v>1394</v>
      </c>
      <c r="B19" s="51">
        <v>0</v>
      </c>
      <c r="C19" s="50">
        <v>42</v>
      </c>
      <c r="F19" s="52"/>
      <c r="G19" s="52"/>
    </row>
    <row r="20" spans="1:8">
      <c r="A20" s="50" t="s">
        <v>1395</v>
      </c>
      <c r="B20" s="51">
        <v>0</v>
      </c>
      <c r="C20" s="50">
        <v>40</v>
      </c>
      <c r="F20" s="52"/>
      <c r="G20" s="52"/>
    </row>
    <row r="21" spans="1:8">
      <c r="A21" s="50" t="s">
        <v>1396</v>
      </c>
      <c r="B21" s="51">
        <v>0</v>
      </c>
      <c r="C21" s="50">
        <v>39</v>
      </c>
      <c r="H21" s="83"/>
    </row>
    <row r="22" spans="1:8">
      <c r="A22" s="50" t="s">
        <v>1397</v>
      </c>
      <c r="B22" s="51">
        <v>0</v>
      </c>
      <c r="C22" s="50">
        <v>46</v>
      </c>
      <c r="D22" s="82"/>
      <c r="H22" s="83"/>
    </row>
    <row r="23" spans="1:8">
      <c r="A23" s="50" t="s">
        <v>1398</v>
      </c>
      <c r="B23" s="51">
        <v>0</v>
      </c>
      <c r="C23" s="50">
        <v>41</v>
      </c>
      <c r="D23" s="82"/>
    </row>
    <row r="24" spans="1:8">
      <c r="A24" s="50" t="s">
        <v>1399</v>
      </c>
      <c r="B24" s="51">
        <v>0</v>
      </c>
      <c r="C24" s="50">
        <v>47</v>
      </c>
    </row>
    <row r="25" spans="1:8">
      <c r="A25" s="50" t="s">
        <v>1400</v>
      </c>
      <c r="B25" s="51">
        <v>0</v>
      </c>
      <c r="C25" s="50">
        <v>42</v>
      </c>
    </row>
    <row r="26" spans="1:8">
      <c r="A26" s="50" t="s">
        <v>1401</v>
      </c>
      <c r="B26" s="51">
        <v>0</v>
      </c>
      <c r="C26" s="50">
        <v>41</v>
      </c>
    </row>
    <row r="27" spans="1:8">
      <c r="A27" s="50" t="s">
        <v>1402</v>
      </c>
      <c r="B27" s="51">
        <v>0</v>
      </c>
      <c r="C27" s="50">
        <v>43</v>
      </c>
    </row>
    <row r="28" spans="1:8">
      <c r="A28" s="50" t="s">
        <v>1403</v>
      </c>
      <c r="B28" s="51">
        <v>0</v>
      </c>
      <c r="C28" s="50">
        <v>43</v>
      </c>
    </row>
    <row r="29" spans="1:8">
      <c r="A29" s="50" t="s">
        <v>1404</v>
      </c>
      <c r="B29" s="51">
        <v>0</v>
      </c>
      <c r="C29" s="50">
        <v>44</v>
      </c>
    </row>
    <row r="30" spans="1:8">
      <c r="A30" s="50" t="s">
        <v>1405</v>
      </c>
      <c r="B30" s="51">
        <v>2</v>
      </c>
      <c r="C30" s="50">
        <v>40</v>
      </c>
    </row>
    <row r="31" spans="1:8">
      <c r="A31" s="50" t="s">
        <v>1406</v>
      </c>
      <c r="B31" s="51">
        <v>2</v>
      </c>
      <c r="C31" s="50">
        <v>40</v>
      </c>
    </row>
    <row r="32" spans="1:8">
      <c r="A32" s="50" t="s">
        <v>1407</v>
      </c>
      <c r="B32" s="51">
        <v>2</v>
      </c>
      <c r="C32" s="50">
        <v>46</v>
      </c>
    </row>
    <row r="33" spans="1:3">
      <c r="A33" s="50" t="s">
        <v>1408</v>
      </c>
      <c r="B33" s="51">
        <v>2</v>
      </c>
      <c r="C33" s="50">
        <v>40</v>
      </c>
    </row>
    <row r="34" spans="1:3">
      <c r="A34" s="50" t="s">
        <v>1409</v>
      </c>
      <c r="B34" s="51">
        <v>2</v>
      </c>
      <c r="C34" s="50">
        <v>46</v>
      </c>
    </row>
    <row r="35" spans="1:3">
      <c r="A35" s="50" t="s">
        <v>1410</v>
      </c>
      <c r="B35" s="51">
        <v>2</v>
      </c>
      <c r="C35" s="50">
        <v>44</v>
      </c>
    </row>
    <row r="36" spans="1:3">
      <c r="A36" s="50" t="s">
        <v>1411</v>
      </c>
      <c r="B36" s="51">
        <v>2</v>
      </c>
      <c r="C36" s="50">
        <v>41</v>
      </c>
    </row>
    <row r="37" spans="1:3">
      <c r="A37" s="50" t="s">
        <v>1412</v>
      </c>
      <c r="B37" s="51">
        <v>2</v>
      </c>
      <c r="C37" s="50">
        <v>42</v>
      </c>
    </row>
    <row r="38" spans="1:3">
      <c r="A38" s="50" t="s">
        <v>1413</v>
      </c>
      <c r="B38" s="51">
        <v>2</v>
      </c>
      <c r="C38" s="50">
        <v>47</v>
      </c>
    </row>
    <row r="39" spans="1:3">
      <c r="A39" s="50" t="s">
        <v>1414</v>
      </c>
      <c r="B39" s="51">
        <v>2</v>
      </c>
      <c r="C39" s="50">
        <v>44</v>
      </c>
    </row>
    <row r="40" spans="1:3">
      <c r="A40" s="50" t="s">
        <v>1415</v>
      </c>
      <c r="B40" s="51">
        <v>2</v>
      </c>
      <c r="C40" s="50">
        <v>42</v>
      </c>
    </row>
    <row r="41" spans="1:3">
      <c r="A41" s="50" t="s">
        <v>1416</v>
      </c>
      <c r="B41" s="51">
        <v>2</v>
      </c>
      <c r="C41" s="50">
        <v>40</v>
      </c>
    </row>
    <row r="42" spans="1:3">
      <c r="A42" s="50" t="s">
        <v>1417</v>
      </c>
      <c r="B42" s="51">
        <v>2</v>
      </c>
      <c r="C42" s="50">
        <v>47</v>
      </c>
    </row>
    <row r="43" spans="1:3">
      <c r="A43" s="50" t="s">
        <v>1418</v>
      </c>
      <c r="B43" s="51">
        <v>2</v>
      </c>
      <c r="C43" s="50">
        <v>44</v>
      </c>
    </row>
    <row r="44" spans="1:3">
      <c r="A44" s="50" t="s">
        <v>1419</v>
      </c>
      <c r="B44" s="51">
        <v>2</v>
      </c>
      <c r="C44" s="50">
        <v>43</v>
      </c>
    </row>
    <row r="45" spans="1:3">
      <c r="A45" s="50" t="s">
        <v>1420</v>
      </c>
      <c r="B45" s="51">
        <v>2</v>
      </c>
      <c r="C45" s="50">
        <v>41</v>
      </c>
    </row>
    <row r="46" spans="1:3">
      <c r="A46" s="50" t="s">
        <v>1421</v>
      </c>
      <c r="B46" s="51">
        <v>2</v>
      </c>
      <c r="C46" s="50">
        <v>42</v>
      </c>
    </row>
    <row r="47" spans="1:3">
      <c r="A47" s="50" t="s">
        <v>1422</v>
      </c>
      <c r="B47" s="51">
        <v>2</v>
      </c>
      <c r="C47" s="50">
        <v>40</v>
      </c>
    </row>
    <row r="48" spans="1:3">
      <c r="A48" s="50" t="s">
        <v>1423</v>
      </c>
      <c r="B48" s="51">
        <v>2</v>
      </c>
      <c r="C48" s="50">
        <v>46</v>
      </c>
    </row>
    <row r="49" spans="1:7">
      <c r="A49" s="50" t="s">
        <v>1424</v>
      </c>
      <c r="B49" s="51">
        <v>2</v>
      </c>
      <c r="C49" s="50">
        <v>41</v>
      </c>
    </row>
    <row r="51" spans="1:7">
      <c r="A51" s="49" t="s">
        <v>1425</v>
      </c>
      <c r="B51" s="50" t="s">
        <v>1426</v>
      </c>
      <c r="C51" s="50" t="s">
        <v>1427</v>
      </c>
      <c r="D51" s="50" t="s">
        <v>1428</v>
      </c>
      <c r="E51" s="50" t="s">
        <v>1429</v>
      </c>
      <c r="F51" s="50" t="s">
        <v>1430</v>
      </c>
    </row>
    <row r="52" spans="1:7">
      <c r="B52" s="50">
        <v>0.1</v>
      </c>
      <c r="C52" s="50">
        <f>(1-B52)/2</f>
        <v>0.45</v>
      </c>
      <c r="D52" s="50">
        <f>B52/2</f>
        <v>0.05</v>
      </c>
      <c r="E52" s="50">
        <f>B52/2</f>
        <v>0.05</v>
      </c>
      <c r="F52" s="50">
        <f>(1-B52)/2</f>
        <v>0.45</v>
      </c>
    </row>
    <row r="53" spans="1:7">
      <c r="C53" s="50" t="s">
        <v>1431</v>
      </c>
      <c r="D53" s="50" t="s">
        <v>1432</v>
      </c>
      <c r="E53" s="50" t="s">
        <v>1431</v>
      </c>
      <c r="F53" s="50" t="s">
        <v>1432</v>
      </c>
    </row>
    <row r="54" spans="1:7">
      <c r="B54" s="50" t="s">
        <v>1433</v>
      </c>
      <c r="C54" s="50">
        <v>20</v>
      </c>
      <c r="D54" s="50">
        <v>10</v>
      </c>
      <c r="G54" s="50" t="s">
        <v>1433</v>
      </c>
    </row>
    <row r="55" spans="1:7">
      <c r="B55" s="50" t="s">
        <v>1434</v>
      </c>
      <c r="C55" s="50">
        <f>C52</f>
        <v>0.45</v>
      </c>
      <c r="D55" s="50">
        <f>D52</f>
        <v>0.05</v>
      </c>
      <c r="E55" s="50">
        <f>C55/0.5</f>
        <v>0.9</v>
      </c>
      <c r="F55" s="50">
        <f>D55/0.5</f>
        <v>0.1</v>
      </c>
      <c r="G55" s="50">
        <f>SUMPRODUCT(E55:F55,C54:D54)</f>
        <v>19</v>
      </c>
    </row>
    <row r="56" spans="1:7">
      <c r="B56" s="50" t="s">
        <v>1435</v>
      </c>
      <c r="C56" s="50">
        <f>E52</f>
        <v>0.05</v>
      </c>
      <c r="D56" s="50">
        <f>F52</f>
        <v>0.45</v>
      </c>
      <c r="E56" s="50">
        <f>C56/0.5</f>
        <v>0.1</v>
      </c>
      <c r="F56" s="50">
        <f>D56/0.5</f>
        <v>0.9</v>
      </c>
      <c r="G56" s="50">
        <f>SUMPRODUCT(E56:F56,C54:D54)</f>
        <v>11</v>
      </c>
    </row>
    <row r="57" spans="1:7">
      <c r="C57" s="50" t="s">
        <v>1436</v>
      </c>
      <c r="D57" s="50" t="s">
        <v>1437</v>
      </c>
    </row>
    <row r="58" spans="1:7">
      <c r="B58" s="50" t="s">
        <v>1438</v>
      </c>
      <c r="C58" s="50" t="s">
        <v>1439</v>
      </c>
      <c r="D58" s="50" t="s">
        <v>1440</v>
      </c>
      <c r="E58" s="50" t="s">
        <v>1441</v>
      </c>
    </row>
    <row r="59" spans="1:7">
      <c r="B59" s="50">
        <v>5</v>
      </c>
      <c r="C59" s="50">
        <f>_xlfn.NORM.DIST(B59,20,2,FALSE)</f>
        <v>1.2171602665145048E-13</v>
      </c>
      <c r="D59" s="50">
        <f>_xlfn.NORM.DIST(B59,10,2,FALSE)</f>
        <v>8.7641502467842702E-3</v>
      </c>
      <c r="E59" s="50">
        <f>SUMPRODUCT($E$55:$F$55,C59:D59)</f>
        <v>8.7641502478797144E-4</v>
      </c>
    </row>
    <row r="60" spans="1:7">
      <c r="B60" s="50">
        <f>B59+1</f>
        <v>6</v>
      </c>
      <c r="C60" s="50">
        <f t="shared" ref="C60:C79" si="0">_xlfn.NORM.DIST(B60,20,2,FALSE)</f>
        <v>4.5673602041822968E-12</v>
      </c>
      <c r="D60" s="50">
        <f t="shared" ref="D60:D79" si="1">_xlfn.NORM.DIST(B60,10,2,FALSE)</f>
        <v>2.6995483256594031E-2</v>
      </c>
      <c r="E60" s="50">
        <f t="shared" ref="E60:E79" si="2">SUMPRODUCT($E$55:$F$55,C60:D60)</f>
        <v>2.6995483297700277E-3</v>
      </c>
    </row>
    <row r="61" spans="1:7">
      <c r="B61" s="50">
        <f t="shared" ref="B61:B79" si="3">B60+1</f>
        <v>7</v>
      </c>
      <c r="C61" s="50">
        <f t="shared" si="0"/>
        <v>1.334778307381426E-10</v>
      </c>
      <c r="D61" s="50">
        <f t="shared" si="1"/>
        <v>6.4758797832945872E-2</v>
      </c>
      <c r="E61" s="50">
        <f t="shared" si="2"/>
        <v>6.4758799034246349E-3</v>
      </c>
    </row>
    <row r="62" spans="1:7">
      <c r="B62" s="50">
        <f t="shared" si="3"/>
        <v>8</v>
      </c>
      <c r="C62" s="50">
        <f t="shared" si="0"/>
        <v>3.037941424911643E-9</v>
      </c>
      <c r="D62" s="50">
        <f t="shared" si="1"/>
        <v>0.12098536225957168</v>
      </c>
      <c r="E62" s="50">
        <f t="shared" si="2"/>
        <v>1.2098538960104451E-2</v>
      </c>
    </row>
    <row r="63" spans="1:7">
      <c r="B63" s="50">
        <f t="shared" si="3"/>
        <v>9</v>
      </c>
      <c r="C63" s="50">
        <f t="shared" si="0"/>
        <v>5.384880021271638E-8</v>
      </c>
      <c r="D63" s="50">
        <f t="shared" si="1"/>
        <v>0.17603266338214976</v>
      </c>
      <c r="E63" s="50">
        <f t="shared" si="2"/>
        <v>1.7603314802135169E-2</v>
      </c>
    </row>
    <row r="64" spans="1:7">
      <c r="B64" s="50">
        <f t="shared" si="3"/>
        <v>10</v>
      </c>
      <c r="C64" s="50">
        <f t="shared" si="0"/>
        <v>7.4335975736714884E-7</v>
      </c>
      <c r="D64" s="50">
        <f t="shared" si="1"/>
        <v>0.19947114020071635</v>
      </c>
      <c r="E64" s="50">
        <f t="shared" si="2"/>
        <v>1.9947783043853268E-2</v>
      </c>
    </row>
    <row r="65" spans="2:5">
      <c r="B65" s="50">
        <f t="shared" si="3"/>
        <v>11</v>
      </c>
      <c r="C65" s="50">
        <f t="shared" si="0"/>
        <v>7.9918705534527373E-6</v>
      </c>
      <c r="D65" s="50">
        <f t="shared" si="1"/>
        <v>0.17603266338214976</v>
      </c>
      <c r="E65" s="50">
        <f t="shared" si="2"/>
        <v>1.7610459021713085E-2</v>
      </c>
    </row>
    <row r="66" spans="2:5">
      <c r="B66" s="50">
        <f t="shared" si="3"/>
        <v>12</v>
      </c>
      <c r="C66" s="50">
        <f t="shared" si="0"/>
        <v>6.6915112882442684E-5</v>
      </c>
      <c r="D66" s="50">
        <f t="shared" si="1"/>
        <v>0.12098536225957168</v>
      </c>
      <c r="E66" s="50">
        <f t="shared" si="2"/>
        <v>1.2158759827551368E-2</v>
      </c>
    </row>
    <row r="67" spans="2:5">
      <c r="B67" s="50">
        <f t="shared" si="3"/>
        <v>13</v>
      </c>
      <c r="C67" s="50">
        <f t="shared" si="0"/>
        <v>4.3634134752288008E-4</v>
      </c>
      <c r="D67" s="50">
        <f t="shared" si="1"/>
        <v>6.4758797832945872E-2</v>
      </c>
      <c r="E67" s="50">
        <f t="shared" si="2"/>
        <v>6.8685869960651794E-3</v>
      </c>
    </row>
    <row r="68" spans="2:5">
      <c r="B68" s="50">
        <f t="shared" si="3"/>
        <v>14</v>
      </c>
      <c r="C68" s="50">
        <f t="shared" si="0"/>
        <v>2.2159242059690038E-3</v>
      </c>
      <c r="D68" s="50">
        <f t="shared" si="1"/>
        <v>2.6995483256594031E-2</v>
      </c>
      <c r="E68" s="50">
        <f t="shared" si="2"/>
        <v>4.693880111031507E-3</v>
      </c>
    </row>
    <row r="69" spans="2:5">
      <c r="B69" s="50">
        <f t="shared" si="3"/>
        <v>15</v>
      </c>
      <c r="C69" s="50">
        <f t="shared" si="0"/>
        <v>8.7641502467842702E-3</v>
      </c>
      <c r="D69" s="50">
        <f t="shared" si="1"/>
        <v>8.7641502467842702E-3</v>
      </c>
      <c r="E69" s="50">
        <f t="shared" si="2"/>
        <v>8.7641502467842719E-3</v>
      </c>
    </row>
    <row r="70" spans="2:5">
      <c r="B70" s="50">
        <f t="shared" si="3"/>
        <v>16</v>
      </c>
      <c r="C70" s="50">
        <f t="shared" si="0"/>
        <v>2.6995483256594031E-2</v>
      </c>
      <c r="D70" s="50">
        <f t="shared" si="1"/>
        <v>2.2159242059690038E-3</v>
      </c>
      <c r="E70" s="50">
        <f t="shared" si="2"/>
        <v>2.451752735153153E-2</v>
      </c>
    </row>
    <row r="71" spans="2:5">
      <c r="B71" s="50">
        <f t="shared" si="3"/>
        <v>17</v>
      </c>
      <c r="C71" s="50">
        <f t="shared" si="0"/>
        <v>6.4758797832945872E-2</v>
      </c>
      <c r="D71" s="50">
        <f t="shared" si="1"/>
        <v>4.3634134752288008E-4</v>
      </c>
      <c r="E71" s="50">
        <f t="shared" si="2"/>
        <v>5.8326552184403573E-2</v>
      </c>
    </row>
    <row r="72" spans="2:5">
      <c r="B72" s="50">
        <f t="shared" si="3"/>
        <v>18</v>
      </c>
      <c r="C72" s="50">
        <f t="shared" si="0"/>
        <v>0.12098536225957168</v>
      </c>
      <c r="D72" s="50">
        <f t="shared" si="1"/>
        <v>6.6915112882442684E-5</v>
      </c>
      <c r="E72" s="50">
        <f t="shared" si="2"/>
        <v>0.10889351754490277</v>
      </c>
    </row>
    <row r="73" spans="2:5">
      <c r="B73" s="50">
        <f t="shared" si="3"/>
        <v>19</v>
      </c>
      <c r="C73" s="50">
        <f t="shared" si="0"/>
        <v>0.17603266338214976</v>
      </c>
      <c r="D73" s="50">
        <f t="shared" si="1"/>
        <v>7.9918705534527373E-6</v>
      </c>
      <c r="E73" s="50">
        <f t="shared" si="2"/>
        <v>0.15843019623099014</v>
      </c>
    </row>
    <row r="74" spans="2:5">
      <c r="B74" s="50">
        <f t="shared" si="3"/>
        <v>20</v>
      </c>
      <c r="C74" s="50">
        <f t="shared" si="0"/>
        <v>0.19947114020071635</v>
      </c>
      <c r="D74" s="50">
        <f t="shared" si="1"/>
        <v>7.4335975736714884E-7</v>
      </c>
      <c r="E74" s="50">
        <f t="shared" si="2"/>
        <v>0.17952410051662046</v>
      </c>
    </row>
    <row r="75" spans="2:5">
      <c r="B75" s="50">
        <f t="shared" si="3"/>
        <v>21</v>
      </c>
      <c r="C75" s="50">
        <f t="shared" si="0"/>
        <v>0.17603266338214976</v>
      </c>
      <c r="D75" s="50">
        <f t="shared" si="1"/>
        <v>5.384880021271638E-8</v>
      </c>
      <c r="E75" s="50">
        <f t="shared" si="2"/>
        <v>0.15842940242881481</v>
      </c>
    </row>
    <row r="76" spans="2:5">
      <c r="B76" s="50">
        <f t="shared" si="3"/>
        <v>22</v>
      </c>
      <c r="C76" s="50">
        <f t="shared" si="0"/>
        <v>0.12098536225957168</v>
      </c>
      <c r="D76" s="50">
        <f t="shared" si="1"/>
        <v>3.037941424911643E-9</v>
      </c>
      <c r="E76" s="50">
        <f t="shared" si="2"/>
        <v>0.10888682633740866</v>
      </c>
    </row>
    <row r="77" spans="2:5">
      <c r="B77" s="50">
        <f t="shared" si="3"/>
        <v>23</v>
      </c>
      <c r="C77" s="50">
        <f t="shared" si="0"/>
        <v>6.4758797832945872E-2</v>
      </c>
      <c r="D77" s="50">
        <f t="shared" si="1"/>
        <v>1.334778307381426E-10</v>
      </c>
      <c r="E77" s="50">
        <f t="shared" si="2"/>
        <v>5.8282918062999067E-2</v>
      </c>
    </row>
    <row r="78" spans="2:5">
      <c r="B78" s="50">
        <f>B77+1</f>
        <v>24</v>
      </c>
      <c r="C78" s="50">
        <f t="shared" si="0"/>
        <v>2.6995483256594031E-2</v>
      </c>
      <c r="D78" s="50">
        <f t="shared" si="1"/>
        <v>4.5673602041822968E-12</v>
      </c>
      <c r="E78" s="50">
        <f t="shared" si="2"/>
        <v>2.4295934931391365E-2</v>
      </c>
    </row>
    <row r="79" spans="2:5">
      <c r="B79" s="50">
        <f t="shared" si="3"/>
        <v>25</v>
      </c>
      <c r="C79" s="50">
        <f t="shared" si="0"/>
        <v>8.7641502467842702E-3</v>
      </c>
      <c r="D79" s="50">
        <f t="shared" si="1"/>
        <v>1.2171602665145048E-13</v>
      </c>
      <c r="E79" s="50">
        <f t="shared" si="2"/>
        <v>7.8877352221180148E-3</v>
      </c>
    </row>
    <row r="81" spans="1:9">
      <c r="A81" s="49" t="s">
        <v>1442</v>
      </c>
      <c r="B81" s="50" t="s">
        <v>1443</v>
      </c>
      <c r="C81" s="50" t="s">
        <v>1444</v>
      </c>
      <c r="D81" s="50" t="s">
        <v>1445</v>
      </c>
      <c r="E81" s="50" t="s">
        <v>1446</v>
      </c>
      <c r="F81" s="50" t="s">
        <v>1447</v>
      </c>
      <c r="H81" s="50" t="s">
        <v>1448</v>
      </c>
    </row>
    <row r="82" spans="1:9">
      <c r="B82" s="50">
        <v>0.1</v>
      </c>
      <c r="C82" s="50">
        <f>(1-B82)/2</f>
        <v>0.45</v>
      </c>
      <c r="D82" s="50">
        <f>B82/2</f>
        <v>0.05</v>
      </c>
      <c r="E82" s="50">
        <f>B82/2</f>
        <v>0.05</v>
      </c>
      <c r="F82" s="50">
        <f>(1-B82)/2</f>
        <v>0.45</v>
      </c>
    </row>
    <row r="83" spans="1:9">
      <c r="C83" s="50" t="s">
        <v>1449</v>
      </c>
      <c r="D83" s="50" t="s">
        <v>1450</v>
      </c>
      <c r="E83" s="50" t="s">
        <v>1437</v>
      </c>
      <c r="F83" s="50" t="s">
        <v>1451</v>
      </c>
      <c r="G83" s="50" t="s">
        <v>1452</v>
      </c>
      <c r="H83" s="50" t="s">
        <v>1453</v>
      </c>
    </row>
    <row r="84" spans="1:9">
      <c r="B84" s="50" t="s">
        <v>1454</v>
      </c>
      <c r="C84" s="50">
        <v>20</v>
      </c>
      <c r="D84" s="50">
        <v>18</v>
      </c>
      <c r="E84" s="50">
        <v>10</v>
      </c>
      <c r="I84" s="50" t="s">
        <v>1455</v>
      </c>
    </row>
    <row r="85" spans="1:9">
      <c r="B85" s="50" t="s">
        <v>1456</v>
      </c>
      <c r="C85" s="50">
        <f>C82^2</f>
        <v>0.20250000000000001</v>
      </c>
      <c r="D85" s="50">
        <f>2*C82*D82</f>
        <v>4.5000000000000005E-2</v>
      </c>
      <c r="E85" s="50">
        <f>D82^2</f>
        <v>2.5000000000000005E-3</v>
      </c>
      <c r="F85" s="50">
        <f>C85/0.25</f>
        <v>0.81</v>
      </c>
      <c r="G85" s="50">
        <f t="shared" ref="G85:H85" si="4">D85/0.25</f>
        <v>0.18000000000000002</v>
      </c>
      <c r="H85" s="50">
        <f t="shared" si="4"/>
        <v>1.0000000000000002E-2</v>
      </c>
      <c r="I85" s="50">
        <f>SUMPRODUCT(F85:H85,C84:E84)</f>
        <v>19.540000000000006</v>
      </c>
    </row>
    <row r="86" spans="1:9">
      <c r="B86" s="50" t="s">
        <v>1457</v>
      </c>
      <c r="C86" s="50">
        <f>2*C82*E82</f>
        <v>4.5000000000000005E-2</v>
      </c>
      <c r="D86" s="50">
        <f>2*C82*F82+2*D82*E82</f>
        <v>0.41000000000000003</v>
      </c>
      <c r="E86" s="50">
        <f>2*D82*F82</f>
        <v>4.5000000000000005E-2</v>
      </c>
      <c r="F86" s="50">
        <f>C86/0.5</f>
        <v>9.0000000000000011E-2</v>
      </c>
      <c r="G86" s="50">
        <f t="shared" ref="G86:H86" si="5">D86/0.5</f>
        <v>0.82000000000000006</v>
      </c>
      <c r="H86" s="50">
        <f t="shared" si="5"/>
        <v>9.0000000000000011E-2</v>
      </c>
      <c r="I86" s="50">
        <f>SUMPRODUCT(F86:H86,C84:E84)</f>
        <v>17.46</v>
      </c>
    </row>
    <row r="87" spans="1:9">
      <c r="B87" s="50" t="s">
        <v>1458</v>
      </c>
      <c r="C87" s="50">
        <f>E82^2</f>
        <v>2.5000000000000005E-3</v>
      </c>
      <c r="D87" s="50">
        <f>2*E82*F82</f>
        <v>4.5000000000000005E-2</v>
      </c>
      <c r="E87" s="50">
        <f>F82^2</f>
        <v>0.20250000000000001</v>
      </c>
      <c r="F87" s="50">
        <f>C87/0.25</f>
        <v>1.0000000000000002E-2</v>
      </c>
      <c r="G87" s="50">
        <f t="shared" ref="G87:H87" si="6">D87/0.25</f>
        <v>0.18000000000000002</v>
      </c>
      <c r="H87" s="50">
        <f t="shared" si="6"/>
        <v>0.81</v>
      </c>
      <c r="I87" s="50">
        <f>SUMPRODUCT(F87:H87,C84:E84)</f>
        <v>11.540000000000003</v>
      </c>
    </row>
    <row r="88" spans="1:9">
      <c r="C88" s="50" t="s">
        <v>1459</v>
      </c>
      <c r="D88" s="50" t="s">
        <v>1460</v>
      </c>
      <c r="E88" s="50" t="s">
        <v>1461</v>
      </c>
    </row>
    <row r="89" spans="1:9">
      <c r="B89" s="50" t="s">
        <v>1462</v>
      </c>
      <c r="C89" s="50" t="s">
        <v>1463</v>
      </c>
      <c r="D89" s="50" t="s">
        <v>1464</v>
      </c>
      <c r="E89" s="50" t="s">
        <v>1465</v>
      </c>
      <c r="F89" s="50" t="s">
        <v>1466</v>
      </c>
    </row>
    <row r="90" spans="1:9">
      <c r="B90" s="50">
        <v>5</v>
      </c>
      <c r="C90" s="50">
        <f>_xlfn.NORM.DIST(B90,20,2,FALSE)</f>
        <v>1.2171602665145048E-13</v>
      </c>
      <c r="D90" s="50">
        <f>_xlfn.NORM.DIST(B90,18,2,FALSE)</f>
        <v>1.334778307381426E-10</v>
      </c>
      <c r="E90" s="50">
        <f>_xlfn.NORM.DIST(B90,10,2,FALSE)</f>
        <v>8.7641502467842702E-3</v>
      </c>
      <c r="F90" s="50">
        <f>SUMPRODUCT($F$87:$H$87,C90:E90)</f>
        <v>7.0989617239224853E-3</v>
      </c>
    </row>
    <row r="91" spans="1:9">
      <c r="B91" s="50">
        <f>B90+1</f>
        <v>6</v>
      </c>
      <c r="C91" s="50">
        <f t="shared" ref="C91:C110" si="7">_xlfn.NORM.DIST(B91,20,2,FALSE)</f>
        <v>4.5673602041822968E-12</v>
      </c>
      <c r="D91" s="50">
        <f t="shared" ref="D91:D110" si="8">_xlfn.NORM.DIST(B91,18,2,FALSE)</f>
        <v>3.037941424911643E-9</v>
      </c>
      <c r="E91" s="50">
        <f t="shared" ref="E91:E110" si="9">_xlfn.NORM.DIST(B91,10,2,FALSE)</f>
        <v>2.6995483256594031E-2</v>
      </c>
      <c r="F91" s="50">
        <f t="shared" ref="F91:F110" si="10">SUMPRODUCT($F$87:$H$87,C91:E91)</f>
        <v>2.1866341984716296E-2</v>
      </c>
    </row>
    <row r="92" spans="1:9">
      <c r="B92" s="50">
        <f t="shared" ref="B92:B108" si="11">B91+1</f>
        <v>7</v>
      </c>
      <c r="C92" s="50">
        <f t="shared" si="7"/>
        <v>1.334778307381426E-10</v>
      </c>
      <c r="D92" s="50">
        <f t="shared" si="8"/>
        <v>5.384880021271638E-8</v>
      </c>
      <c r="E92" s="50">
        <f t="shared" si="9"/>
        <v>6.4758797832945872E-2</v>
      </c>
      <c r="F92" s="50">
        <f t="shared" si="10"/>
        <v>5.2454635938804971E-2</v>
      </c>
    </row>
    <row r="93" spans="1:9">
      <c r="B93" s="50">
        <f t="shared" si="11"/>
        <v>8</v>
      </c>
      <c r="C93" s="50">
        <f t="shared" si="7"/>
        <v>3.037941424911643E-9</v>
      </c>
      <c r="D93" s="50">
        <f t="shared" si="8"/>
        <v>7.4335975736714884E-7</v>
      </c>
      <c r="E93" s="50">
        <f t="shared" si="9"/>
        <v>0.12098536225957168</v>
      </c>
      <c r="F93" s="50">
        <f t="shared" si="10"/>
        <v>9.7998277265388803E-2</v>
      </c>
    </row>
    <row r="94" spans="1:9">
      <c r="B94" s="50">
        <f t="shared" si="11"/>
        <v>9</v>
      </c>
      <c r="C94" s="50">
        <f t="shared" si="7"/>
        <v>5.384880021271638E-8</v>
      </c>
      <c r="D94" s="50">
        <f t="shared" si="8"/>
        <v>7.9918705534527373E-6</v>
      </c>
      <c r="E94" s="50">
        <f t="shared" si="9"/>
        <v>0.17603266338214976</v>
      </c>
      <c r="F94" s="50">
        <f t="shared" si="10"/>
        <v>0.14258789641472894</v>
      </c>
    </row>
    <row r="95" spans="1:9">
      <c r="B95" s="50">
        <f t="shared" si="11"/>
        <v>10</v>
      </c>
      <c r="C95" s="50">
        <f t="shared" si="7"/>
        <v>7.4335975736714884E-7</v>
      </c>
      <c r="D95" s="50">
        <f t="shared" si="8"/>
        <v>6.6915112882442684E-5</v>
      </c>
      <c r="E95" s="50">
        <f t="shared" si="9"/>
        <v>0.19947114020071635</v>
      </c>
      <c r="F95" s="50">
        <f t="shared" si="10"/>
        <v>0.16158367571649668</v>
      </c>
    </row>
    <row r="96" spans="1:9">
      <c r="B96" s="50">
        <f t="shared" si="11"/>
        <v>11</v>
      </c>
      <c r="C96" s="50">
        <f t="shared" si="7"/>
        <v>7.9918705534527373E-6</v>
      </c>
      <c r="D96" s="50">
        <f t="shared" si="8"/>
        <v>4.3634134752288008E-4</v>
      </c>
      <c r="E96" s="50">
        <f t="shared" si="9"/>
        <v>0.17603266338214976</v>
      </c>
      <c r="F96" s="50">
        <f t="shared" si="10"/>
        <v>0.14266507870080097</v>
      </c>
    </row>
    <row r="97" spans="1:6">
      <c r="B97" s="50">
        <f t="shared" si="11"/>
        <v>12</v>
      </c>
      <c r="C97" s="50">
        <f t="shared" si="7"/>
        <v>6.6915112882442684E-5</v>
      </c>
      <c r="D97" s="50">
        <f t="shared" si="8"/>
        <v>2.2159242059690038E-3</v>
      </c>
      <c r="E97" s="50">
        <f t="shared" si="9"/>
        <v>0.12098536225957168</v>
      </c>
      <c r="F97" s="50">
        <f t="shared" si="10"/>
        <v>9.8397678938456315E-2</v>
      </c>
    </row>
    <row r="98" spans="1:6">
      <c r="B98" s="50">
        <f t="shared" si="11"/>
        <v>13</v>
      </c>
      <c r="C98" s="50">
        <f t="shared" si="7"/>
        <v>4.3634134752288008E-4</v>
      </c>
      <c r="D98" s="50">
        <f t="shared" si="8"/>
        <v>8.7641502467842702E-3</v>
      </c>
      <c r="E98" s="50">
        <f t="shared" si="9"/>
        <v>6.4758797832945872E-2</v>
      </c>
      <c r="F98" s="50">
        <f t="shared" si="10"/>
        <v>5.4036536702582558E-2</v>
      </c>
    </row>
    <row r="99" spans="1:6">
      <c r="B99" s="50">
        <f t="shared" si="11"/>
        <v>14</v>
      </c>
      <c r="C99" s="50">
        <f t="shared" si="7"/>
        <v>2.2159242059690038E-3</v>
      </c>
      <c r="D99" s="50">
        <f t="shared" si="8"/>
        <v>2.6995483256594031E-2</v>
      </c>
      <c r="E99" s="50">
        <f t="shared" si="9"/>
        <v>2.6995483256594031E-2</v>
      </c>
      <c r="F99" s="50">
        <f t="shared" si="10"/>
        <v>2.6747687666087781E-2</v>
      </c>
    </row>
    <row r="100" spans="1:6">
      <c r="B100" s="50">
        <f t="shared" si="11"/>
        <v>15</v>
      </c>
      <c r="C100" s="50">
        <f t="shared" si="7"/>
        <v>8.7641502467842702E-3</v>
      </c>
      <c r="D100" s="50">
        <f t="shared" si="8"/>
        <v>6.4758797832945872E-2</v>
      </c>
      <c r="E100" s="50">
        <f t="shared" si="9"/>
        <v>8.7641502467842702E-3</v>
      </c>
      <c r="F100" s="50">
        <f t="shared" si="10"/>
        <v>1.8843186812293362E-2</v>
      </c>
    </row>
    <row r="101" spans="1:6">
      <c r="B101" s="50">
        <f t="shared" si="11"/>
        <v>16</v>
      </c>
      <c r="C101" s="50">
        <f t="shared" si="7"/>
        <v>2.6995483256594031E-2</v>
      </c>
      <c r="D101" s="50">
        <f t="shared" si="8"/>
        <v>0.12098536225957168</v>
      </c>
      <c r="E101" s="50">
        <f t="shared" si="9"/>
        <v>2.2159242059690038E-3</v>
      </c>
      <c r="F101" s="50">
        <f t="shared" si="10"/>
        <v>2.384221864612374E-2</v>
      </c>
    </row>
    <row r="102" spans="1:6">
      <c r="B102" s="50">
        <f t="shared" si="11"/>
        <v>17</v>
      </c>
      <c r="C102" s="50">
        <f t="shared" si="7"/>
        <v>6.4758797832945872E-2</v>
      </c>
      <c r="D102" s="50">
        <f t="shared" si="8"/>
        <v>0.17603266338214976</v>
      </c>
      <c r="E102" s="50">
        <f t="shared" si="9"/>
        <v>4.3634134752288008E-4</v>
      </c>
      <c r="F102" s="50">
        <f t="shared" si="10"/>
        <v>3.2686903878609952E-2</v>
      </c>
    </row>
    <row r="103" spans="1:6">
      <c r="B103" s="50">
        <f t="shared" si="11"/>
        <v>18</v>
      </c>
      <c r="C103" s="50">
        <f t="shared" si="7"/>
        <v>0.12098536225957168</v>
      </c>
      <c r="D103" s="50">
        <f t="shared" si="8"/>
        <v>0.19947114020071635</v>
      </c>
      <c r="E103" s="50">
        <f t="shared" si="9"/>
        <v>6.6915112882442684E-5</v>
      </c>
      <c r="F103" s="50">
        <f t="shared" si="10"/>
        <v>3.7168860100159441E-2</v>
      </c>
    </row>
    <row r="104" spans="1:6">
      <c r="B104" s="50">
        <f t="shared" si="11"/>
        <v>19</v>
      </c>
      <c r="C104" s="50">
        <f t="shared" si="7"/>
        <v>0.17603266338214976</v>
      </c>
      <c r="D104" s="50">
        <f t="shared" si="8"/>
        <v>0.17603266338214976</v>
      </c>
      <c r="E104" s="50">
        <f t="shared" si="9"/>
        <v>7.9918705534527373E-6</v>
      </c>
      <c r="F104" s="50">
        <f t="shared" si="10"/>
        <v>3.3452679457756755E-2</v>
      </c>
    </row>
    <row r="105" spans="1:6">
      <c r="B105" s="50">
        <f t="shared" si="11"/>
        <v>20</v>
      </c>
      <c r="C105" s="50">
        <f t="shared" si="7"/>
        <v>0.19947114020071635</v>
      </c>
      <c r="D105" s="50">
        <f t="shared" si="8"/>
        <v>0.12098536225957168</v>
      </c>
      <c r="E105" s="50">
        <f t="shared" si="9"/>
        <v>7.4335975736714884E-7</v>
      </c>
      <c r="F105" s="50">
        <f t="shared" si="10"/>
        <v>2.3772678730133535E-2</v>
      </c>
    </row>
    <row r="106" spans="1:6">
      <c r="B106" s="50">
        <f t="shared" si="11"/>
        <v>21</v>
      </c>
      <c r="C106" s="50">
        <f t="shared" si="7"/>
        <v>0.17603266338214976</v>
      </c>
      <c r="D106" s="50">
        <f t="shared" si="8"/>
        <v>6.4758797832945872E-2</v>
      </c>
      <c r="E106" s="50">
        <f t="shared" si="9"/>
        <v>5.384880021271638E-8</v>
      </c>
      <c r="F106" s="50">
        <f t="shared" si="10"/>
        <v>1.341695386127993E-2</v>
      </c>
    </row>
    <row r="107" spans="1:6">
      <c r="B107" s="50">
        <f t="shared" si="11"/>
        <v>22</v>
      </c>
      <c r="C107" s="50">
        <f t="shared" si="7"/>
        <v>0.12098536225957168</v>
      </c>
      <c r="D107" s="50">
        <f t="shared" si="8"/>
        <v>2.6995483256594031E-2</v>
      </c>
      <c r="E107" s="50">
        <f t="shared" si="9"/>
        <v>3.037941424911643E-9</v>
      </c>
      <c r="F107" s="50">
        <f t="shared" si="10"/>
        <v>6.0690430695151979E-3</v>
      </c>
    </row>
    <row r="108" spans="1:6">
      <c r="B108" s="50">
        <f t="shared" si="11"/>
        <v>23</v>
      </c>
      <c r="C108" s="50">
        <f t="shared" si="7"/>
        <v>6.4758797832945872E-2</v>
      </c>
      <c r="D108" s="50">
        <f t="shared" si="8"/>
        <v>8.7641502467842702E-3</v>
      </c>
      <c r="E108" s="50">
        <f t="shared" si="9"/>
        <v>1.334778307381426E-10</v>
      </c>
      <c r="F108" s="50">
        <f t="shared" si="10"/>
        <v>2.2251351308676709E-3</v>
      </c>
    </row>
    <row r="109" spans="1:6">
      <c r="B109" s="50">
        <f>B108+1</f>
        <v>24</v>
      </c>
      <c r="C109" s="50">
        <f t="shared" si="7"/>
        <v>2.6995483256594031E-2</v>
      </c>
      <c r="D109" s="50">
        <f t="shared" si="8"/>
        <v>2.2159242059690038E-3</v>
      </c>
      <c r="E109" s="50">
        <f t="shared" si="9"/>
        <v>4.5673602041822968E-12</v>
      </c>
      <c r="F109" s="50">
        <f t="shared" si="10"/>
        <v>6.6882119333992295E-4</v>
      </c>
    </row>
    <row r="110" spans="1:6">
      <c r="B110" s="50">
        <f t="shared" ref="B110" si="12">B109+1</f>
        <v>25</v>
      </c>
      <c r="C110" s="50">
        <f t="shared" si="7"/>
        <v>8.7641502467842702E-3</v>
      </c>
      <c r="D110" s="50">
        <f t="shared" si="8"/>
        <v>4.3634134752288008E-4</v>
      </c>
      <c r="E110" s="50">
        <f t="shared" si="9"/>
        <v>1.2171602665145048E-13</v>
      </c>
      <c r="F110" s="50">
        <f t="shared" si="10"/>
        <v>1.6618294512055112E-4</v>
      </c>
    </row>
    <row r="112" spans="1:6">
      <c r="A112" s="49" t="s">
        <v>1467</v>
      </c>
      <c r="B112" s="50" t="s">
        <v>1468</v>
      </c>
      <c r="C112" s="50" t="s">
        <v>1469</v>
      </c>
      <c r="D112" s="50" t="s">
        <v>1470</v>
      </c>
      <c r="E112" s="50" t="s">
        <v>1451</v>
      </c>
      <c r="F112" s="50" t="s">
        <v>1471</v>
      </c>
    </row>
    <row r="113" spans="1:8">
      <c r="B113" s="51">
        <v>0.05</v>
      </c>
      <c r="C113" s="51">
        <v>0.03</v>
      </c>
      <c r="D113" s="50">
        <f>B113+C113-2*B113*C113</f>
        <v>7.6999999999999999E-2</v>
      </c>
      <c r="E113" s="50">
        <v>20</v>
      </c>
      <c r="F113" s="50">
        <v>15</v>
      </c>
    </row>
    <row r="114" spans="1:8">
      <c r="C114" s="50" t="s">
        <v>1472</v>
      </c>
      <c r="D114" s="50" t="s">
        <v>1473</v>
      </c>
      <c r="E114" s="50" t="s">
        <v>1471</v>
      </c>
      <c r="F114" s="50" t="s">
        <v>1474</v>
      </c>
      <c r="G114" s="50" t="s">
        <v>1475</v>
      </c>
      <c r="H114" s="50" t="s">
        <v>1476</v>
      </c>
    </row>
    <row r="115" spans="1:8">
      <c r="B115" s="50" t="s">
        <v>1477</v>
      </c>
      <c r="C115" s="85">
        <f>(1-D113)/2</f>
        <v>0.46150000000000002</v>
      </c>
      <c r="D115" s="85">
        <f>(1-B113-C113+B113*C113)/2</f>
        <v>0.46074999999999994</v>
      </c>
      <c r="E115" s="85">
        <f>B113*C113/2</f>
        <v>7.5000000000000002E-4</v>
      </c>
      <c r="F115" s="85">
        <f>D115/C115</f>
        <v>0.99837486457204749</v>
      </c>
      <c r="G115" s="85">
        <f>E115/C115</f>
        <v>1.6251354279523294E-3</v>
      </c>
      <c r="H115" s="85">
        <f>SUMPRODUCT(F115:G115,E113:F113)</f>
        <v>19.991874322860234</v>
      </c>
    </row>
    <row r="116" spans="1:8">
      <c r="B116" s="50" t="s">
        <v>1478</v>
      </c>
      <c r="C116" s="85">
        <f>D113/2</f>
        <v>3.85E-2</v>
      </c>
      <c r="D116" s="85">
        <f>(1-B113)*C113/2</f>
        <v>1.4249999999999999E-2</v>
      </c>
      <c r="E116" s="85">
        <f>(B113*(1-C113)/2)</f>
        <v>2.4250000000000001E-2</v>
      </c>
      <c r="F116" s="85">
        <f t="shared" ref="F116:F118" si="13">D116/C116</f>
        <v>0.37012987012987009</v>
      </c>
      <c r="G116" s="85">
        <f t="shared" ref="G116:G118" si="14">E116/C116</f>
        <v>0.62987012987012991</v>
      </c>
      <c r="H116" s="85">
        <f>SUMPRODUCT(F116:G116,E113:F113)</f>
        <v>16.850649350649352</v>
      </c>
    </row>
    <row r="117" spans="1:8">
      <c r="B117" s="50" t="s">
        <v>1479</v>
      </c>
      <c r="C117" s="85">
        <f>D113/2</f>
        <v>3.85E-2</v>
      </c>
      <c r="D117" s="85">
        <f>E116</f>
        <v>2.4250000000000001E-2</v>
      </c>
      <c r="E117" s="85">
        <f>D116</f>
        <v>1.4249999999999999E-2</v>
      </c>
      <c r="F117" s="85">
        <f t="shared" si="13"/>
        <v>0.62987012987012991</v>
      </c>
      <c r="G117" s="85">
        <f t="shared" si="14"/>
        <v>0.37012987012987009</v>
      </c>
      <c r="H117" s="85">
        <f>SUMPRODUCT(F117:G117,E113:F113)</f>
        <v>18.149350649350652</v>
      </c>
    </row>
    <row r="118" spans="1:8">
      <c r="B118" s="50" t="s">
        <v>1480</v>
      </c>
      <c r="C118" s="85">
        <f>(1-D113)/2</f>
        <v>0.46150000000000002</v>
      </c>
      <c r="D118" s="85">
        <f>E115</f>
        <v>7.5000000000000002E-4</v>
      </c>
      <c r="E118" s="85">
        <f>D115</f>
        <v>0.46074999999999994</v>
      </c>
      <c r="F118" s="85">
        <f t="shared" si="13"/>
        <v>1.6251354279523294E-3</v>
      </c>
      <c r="G118" s="85">
        <f t="shared" si="14"/>
        <v>0.99837486457204749</v>
      </c>
      <c r="H118" s="85">
        <f>SUMPRODUCT(F118:G118,E113:F113)</f>
        <v>15.008125677139759</v>
      </c>
    </row>
    <row r="120" spans="1:8">
      <c r="A120" s="49" t="s">
        <v>1481</v>
      </c>
      <c r="B120" s="50" t="s">
        <v>1482</v>
      </c>
    </row>
    <row r="122" spans="1:8">
      <c r="A122" s="49" t="s">
        <v>1483</v>
      </c>
      <c r="B122" s="50" t="s">
        <v>1484</v>
      </c>
    </row>
  </sheetData>
  <phoneticPr fontId="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4"/>
  <sheetViews>
    <sheetView topLeftCell="A186" workbookViewId="0">
      <selection activeCell="F199" sqref="F199"/>
    </sheetView>
  </sheetViews>
  <sheetFormatPr defaultRowHeight="13.8"/>
  <cols>
    <col min="1" max="1" width="8.6640625" style="2" customWidth="1"/>
    <col min="2" max="16384" width="8.88671875" style="2"/>
  </cols>
  <sheetData>
    <row r="1" spans="1:8" ht="14.4">
      <c r="A1" s="1" t="s">
        <v>223</v>
      </c>
      <c r="D1" s="6" t="s">
        <v>1497</v>
      </c>
      <c r="F1" s="6" t="s">
        <v>1498</v>
      </c>
    </row>
    <row r="2" spans="1:8">
      <c r="B2" s="2" t="s">
        <v>224</v>
      </c>
      <c r="C2" s="2" t="s">
        <v>225</v>
      </c>
      <c r="D2" s="2" t="s">
        <v>1495</v>
      </c>
      <c r="E2" s="2" t="s">
        <v>1496</v>
      </c>
      <c r="F2" s="2" t="s">
        <v>2</v>
      </c>
      <c r="G2" s="2" t="s">
        <v>3</v>
      </c>
      <c r="H2" s="2" t="s">
        <v>4</v>
      </c>
    </row>
    <row r="3" spans="1:8">
      <c r="B3" s="2">
        <v>1E-4</v>
      </c>
      <c r="C3" s="2">
        <v>1.0000000000000001E-5</v>
      </c>
      <c r="D3" s="2">
        <f>C3/(B3+C3)</f>
        <v>9.0909090909090912E-2</v>
      </c>
      <c r="E3" s="2">
        <f>1-D3</f>
        <v>0.90909090909090906</v>
      </c>
      <c r="F3" s="2">
        <f>D3^2</f>
        <v>8.2644628099173556E-3</v>
      </c>
      <c r="G3" s="2">
        <f>2*D3*E3</f>
        <v>0.16528925619834711</v>
      </c>
      <c r="H3" s="2">
        <f>E3^2</f>
        <v>0.82644628099173545</v>
      </c>
    </row>
    <row r="5" spans="1:8" ht="14.4">
      <c r="A5" s="1" t="s">
        <v>226</v>
      </c>
      <c r="C5" s="9" t="s">
        <v>1502</v>
      </c>
      <c r="E5" s="2" t="s">
        <v>233</v>
      </c>
      <c r="F5" s="9" t="s">
        <v>1503</v>
      </c>
    </row>
    <row r="6" spans="1:8" ht="14.4">
      <c r="B6" s="2" t="s">
        <v>234</v>
      </c>
      <c r="C6" s="2" t="s">
        <v>235</v>
      </c>
      <c r="D6" s="2" t="s">
        <v>236</v>
      </c>
      <c r="E6" s="2" t="s">
        <v>237</v>
      </c>
      <c r="F6" s="2" t="s">
        <v>235</v>
      </c>
      <c r="G6" s="2" t="s">
        <v>236</v>
      </c>
      <c r="H6" s="2" t="s">
        <v>1499</v>
      </c>
    </row>
    <row r="7" spans="1:8">
      <c r="B7" s="2">
        <v>0</v>
      </c>
      <c r="C7" s="2">
        <v>1</v>
      </c>
      <c r="D7" s="2">
        <f>1-C7</f>
        <v>0</v>
      </c>
      <c r="E7" s="2">
        <v>0.01</v>
      </c>
      <c r="F7" s="2">
        <v>0</v>
      </c>
      <c r="G7" s="2">
        <f>1-F7</f>
        <v>1</v>
      </c>
      <c r="H7" s="2">
        <f>1-(1-E7)^B7</f>
        <v>0</v>
      </c>
    </row>
    <row r="8" spans="1:8">
      <c r="B8" s="2">
        <v>1</v>
      </c>
      <c r="C8" s="2">
        <f>1-D8</f>
        <v>0.99</v>
      </c>
      <c r="D8" s="2">
        <f>E8*(G7-D7)+D7</f>
        <v>0.01</v>
      </c>
      <c r="E8" s="2">
        <v>0.01</v>
      </c>
      <c r="F8" s="2">
        <v>0</v>
      </c>
      <c r="G8" s="2">
        <f t="shared" ref="G8:G12" si="0">1-F8</f>
        <v>1</v>
      </c>
      <c r="H8" s="2">
        <f t="shared" ref="H8:H12" si="1">1-(1-E8)^B8</f>
        <v>1.0000000000000009E-2</v>
      </c>
    </row>
    <row r="9" spans="1:8">
      <c r="B9" s="2">
        <v>2</v>
      </c>
      <c r="C9" s="2">
        <f t="shared" ref="C9:C11" si="2">1-D9</f>
        <v>0.98009999999999997</v>
      </c>
      <c r="D9" s="2">
        <f t="shared" ref="D9:D12" si="3">E9*(G8-D8)+D8</f>
        <v>1.9900000000000001E-2</v>
      </c>
      <c r="E9" s="2">
        <v>0.01</v>
      </c>
      <c r="F9" s="2">
        <v>0</v>
      </c>
      <c r="G9" s="2">
        <f t="shared" si="0"/>
        <v>1</v>
      </c>
      <c r="H9" s="2">
        <f t="shared" si="1"/>
        <v>1.9900000000000029E-2</v>
      </c>
    </row>
    <row r="10" spans="1:8">
      <c r="B10" s="2">
        <v>3</v>
      </c>
      <c r="C10" s="2">
        <f t="shared" si="2"/>
        <v>0.97029900000000002</v>
      </c>
      <c r="D10" s="2">
        <f t="shared" si="3"/>
        <v>2.9701000000000002E-2</v>
      </c>
      <c r="E10" s="2">
        <v>0.01</v>
      </c>
      <c r="F10" s="2">
        <v>0</v>
      </c>
      <c r="G10" s="2">
        <f t="shared" si="0"/>
        <v>1</v>
      </c>
      <c r="H10" s="2">
        <f t="shared" si="1"/>
        <v>2.9701000000000088E-2</v>
      </c>
    </row>
    <row r="11" spans="1:8">
      <c r="B11" s="2">
        <v>4</v>
      </c>
      <c r="C11" s="2">
        <f t="shared" si="2"/>
        <v>0.96059600999999994</v>
      </c>
      <c r="D11" s="2">
        <f t="shared" si="3"/>
        <v>3.940399E-2</v>
      </c>
      <c r="E11" s="2">
        <v>0.01</v>
      </c>
      <c r="F11" s="2">
        <v>0</v>
      </c>
      <c r="G11" s="2">
        <f t="shared" si="0"/>
        <v>1</v>
      </c>
      <c r="H11" s="2">
        <f t="shared" si="1"/>
        <v>3.9403990000000055E-2</v>
      </c>
    </row>
    <row r="12" spans="1:8">
      <c r="B12" s="2">
        <v>5</v>
      </c>
      <c r="C12" s="2">
        <f>1-D12</f>
        <v>0.95099004990000002</v>
      </c>
      <c r="D12" s="2">
        <f t="shared" si="3"/>
        <v>4.9009950099999998E-2</v>
      </c>
      <c r="E12" s="2">
        <v>0.01</v>
      </c>
      <c r="F12" s="2">
        <v>0</v>
      </c>
      <c r="G12" s="2">
        <f t="shared" si="0"/>
        <v>1</v>
      </c>
      <c r="H12" s="2">
        <f t="shared" si="1"/>
        <v>4.9009950100000088E-2</v>
      </c>
    </row>
    <row r="13" spans="1:8">
      <c r="B13" s="38" t="s">
        <v>1500</v>
      </c>
      <c r="C13" s="2">
        <f>C12</f>
        <v>0.95099004990000002</v>
      </c>
    </row>
    <row r="14" spans="1:8">
      <c r="B14" s="2" t="s">
        <v>4</v>
      </c>
      <c r="C14" s="2">
        <f>C12^2</f>
        <v>0.90438207500880452</v>
      </c>
      <c r="E14" s="38" t="s">
        <v>1501</v>
      </c>
      <c r="F14" s="54">
        <f>C14*100</f>
        <v>90.438207500880452</v>
      </c>
    </row>
    <row r="15" spans="1:8">
      <c r="B15" s="2" t="s">
        <v>3</v>
      </c>
      <c r="C15" s="2">
        <f>2*C12*(1-C12)</f>
        <v>9.3215949782390978E-2</v>
      </c>
    </row>
    <row r="16" spans="1:8">
      <c r="B16" s="2" t="s">
        <v>2</v>
      </c>
      <c r="C16" s="2">
        <f>(1-C12)^2</f>
        <v>2.4019752088044878E-3</v>
      </c>
    </row>
    <row r="18" spans="1:10" ht="14.4">
      <c r="A18" s="1" t="s">
        <v>232</v>
      </c>
      <c r="B18" s="2" t="s">
        <v>227</v>
      </c>
      <c r="C18" s="2" t="s">
        <v>228</v>
      </c>
      <c r="D18" s="2" t="s">
        <v>229</v>
      </c>
      <c r="E18" s="2" t="s">
        <v>230</v>
      </c>
    </row>
    <row r="19" spans="1:10" ht="14.4">
      <c r="B19" s="2">
        <f>1/2000</f>
        <v>5.0000000000000001E-4</v>
      </c>
      <c r="C19" s="2">
        <f>SQRT(B19)</f>
        <v>2.2360679774997897E-2</v>
      </c>
      <c r="D19" s="2">
        <f>C19/2</f>
        <v>1.1180339887498949E-2</v>
      </c>
      <c r="E19" s="2">
        <f>1/D19-1/C19</f>
        <v>44.721359549995796</v>
      </c>
      <c r="F19" s="2" t="s">
        <v>231</v>
      </c>
    </row>
    <row r="21" spans="1:10" ht="14.4">
      <c r="A21" s="1" t="s">
        <v>238</v>
      </c>
      <c r="C21" s="6" t="s">
        <v>1504</v>
      </c>
      <c r="G21" s="2" t="s">
        <v>239</v>
      </c>
    </row>
    <row r="22" spans="1:10" ht="14.4">
      <c r="B22" s="9" t="s">
        <v>1506</v>
      </c>
      <c r="C22" s="2" t="s">
        <v>244</v>
      </c>
      <c r="D22" s="2" t="s">
        <v>245</v>
      </c>
      <c r="E22" s="2" t="s">
        <v>246</v>
      </c>
      <c r="F22" s="2" t="s">
        <v>25</v>
      </c>
      <c r="G22" s="2" t="s">
        <v>160</v>
      </c>
      <c r="H22" s="2" t="s">
        <v>247</v>
      </c>
    </row>
    <row r="23" spans="1:10" ht="14.4">
      <c r="B23" s="2" t="s">
        <v>248</v>
      </c>
      <c r="C23" s="2">
        <v>189</v>
      </c>
      <c r="D23" s="2">
        <v>89</v>
      </c>
      <c r="E23" s="2">
        <v>9</v>
      </c>
      <c r="F23" s="2">
        <f>SUM(C23:E23)</f>
        <v>287</v>
      </c>
      <c r="G23" s="5">
        <f>(C23+D23/2)/F23</f>
        <v>0.81358885017421601</v>
      </c>
      <c r="H23" s="5">
        <f>1-G23</f>
        <v>0.18641114982578399</v>
      </c>
    </row>
    <row r="24" spans="1:10" ht="14.4">
      <c r="B24" s="2" t="s">
        <v>249</v>
      </c>
      <c r="C24" s="2">
        <v>400</v>
      </c>
      <c r="D24" s="2">
        <v>249</v>
      </c>
      <c r="E24" s="2">
        <v>5</v>
      </c>
      <c r="F24" s="2">
        <f>SUM(C24:E24)</f>
        <v>654</v>
      </c>
      <c r="G24" s="5">
        <f>(C24+D24/2)/F24</f>
        <v>0.80198776758409784</v>
      </c>
      <c r="H24" s="5">
        <f>1-G24</f>
        <v>0.19801223241590216</v>
      </c>
    </row>
    <row r="26" spans="1:10" ht="16.8">
      <c r="C26" s="2" t="s">
        <v>240</v>
      </c>
      <c r="F26" s="2" t="s">
        <v>241</v>
      </c>
      <c r="I26" s="2" t="s">
        <v>242</v>
      </c>
      <c r="J26" s="2" t="s">
        <v>243</v>
      </c>
    </row>
    <row r="27" spans="1:10" ht="14.4">
      <c r="B27" s="9" t="s">
        <v>1506</v>
      </c>
      <c r="C27" s="2" t="s">
        <v>244</v>
      </c>
      <c r="D27" s="2" t="s">
        <v>245</v>
      </c>
      <c r="E27" s="2" t="s">
        <v>246</v>
      </c>
      <c r="F27" s="2" t="s">
        <v>244</v>
      </c>
      <c r="G27" s="2" t="s">
        <v>245</v>
      </c>
      <c r="H27" s="2" t="s">
        <v>246</v>
      </c>
    </row>
    <row r="28" spans="1:10" ht="14.4">
      <c r="B28" s="2" t="s">
        <v>248</v>
      </c>
      <c r="C28" s="5">
        <f>G23^2</f>
        <v>0.66192681712780288</v>
      </c>
      <c r="D28" s="5">
        <f>2*G23*H23</f>
        <v>0.30332406609282619</v>
      </c>
      <c r="E28" s="5">
        <f>H23^2</f>
        <v>3.4749116779370891E-2</v>
      </c>
      <c r="F28" s="5">
        <f>C28*F23</f>
        <v>189.97299651567943</v>
      </c>
      <c r="G28" s="5">
        <f>D28*F23</f>
        <v>87.054006968641119</v>
      </c>
      <c r="H28" s="5">
        <f>E28*F23</f>
        <v>9.972996515679446</v>
      </c>
      <c r="I28" s="5">
        <f>(C23-F28)^2/F28+(D23-G28)^2/G28+(E23-H28)^2/H28</f>
        <v>0.1434124735394344</v>
      </c>
      <c r="J28" s="5">
        <f>_xlfn.CHISQ.DIST.RT(I28,1)</f>
        <v>0.70491184617227065</v>
      </c>
    </row>
    <row r="29" spans="1:10" ht="14.4">
      <c r="B29" s="2" t="s">
        <v>249</v>
      </c>
      <c r="C29" s="5">
        <f>G24^2</f>
        <v>0.64318437935452499</v>
      </c>
      <c r="D29" s="5">
        <f>2*G24*H24</f>
        <v>0.31760677645914581</v>
      </c>
      <c r="E29" s="5">
        <f>H24^2</f>
        <v>3.920884418632925E-2</v>
      </c>
      <c r="F29" s="5">
        <f>C29*F24</f>
        <v>420.64258409785936</v>
      </c>
      <c r="G29" s="5">
        <f>D29*F24</f>
        <v>207.71483180428137</v>
      </c>
      <c r="H29" s="5">
        <f>E29*F24</f>
        <v>25.642584097859331</v>
      </c>
      <c r="I29" s="5">
        <f>(C24-F29)^2/F29+(D24-G29)^2/G29+(E24-H29)^2/H29</f>
        <v>25.836331500800039</v>
      </c>
      <c r="J29" s="5">
        <f>_xlfn.CHISQ.DIST.RT(I29,1)</f>
        <v>3.7162702342358154E-7</v>
      </c>
    </row>
    <row r="31" spans="1:10" ht="14.4">
      <c r="B31" s="9" t="s">
        <v>78</v>
      </c>
      <c r="C31" s="2" t="s">
        <v>244</v>
      </c>
      <c r="D31" s="2" t="s">
        <v>245</v>
      </c>
      <c r="E31" s="2" t="s">
        <v>246</v>
      </c>
    </row>
    <row r="32" spans="1:10" ht="14.4">
      <c r="B32" s="2" t="s">
        <v>248</v>
      </c>
      <c r="C32" s="2">
        <f t="shared" ref="C32:E33" si="4">C23/$F23</f>
        <v>0.65853658536585369</v>
      </c>
      <c r="D32" s="2">
        <f t="shared" si="4"/>
        <v>0.31010452961672474</v>
      </c>
      <c r="E32" s="2">
        <f t="shared" si="4"/>
        <v>3.1358885017421602E-2</v>
      </c>
    </row>
    <row r="33" spans="1:8" ht="14.4">
      <c r="B33" s="2" t="s">
        <v>249</v>
      </c>
      <c r="C33" s="2">
        <f t="shared" si="4"/>
        <v>0.6116207951070336</v>
      </c>
      <c r="D33" s="2">
        <f t="shared" si="4"/>
        <v>0.38073394495412843</v>
      </c>
      <c r="E33" s="2">
        <f t="shared" si="4"/>
        <v>7.6452599388379203E-3</v>
      </c>
      <c r="H33" s="2" t="s">
        <v>1505</v>
      </c>
    </row>
    <row r="34" spans="1:8" ht="14.4">
      <c r="B34" s="2" t="s">
        <v>250</v>
      </c>
    </row>
    <row r="36" spans="1:8" ht="14.4">
      <c r="A36" s="1" t="s">
        <v>251</v>
      </c>
      <c r="B36" s="2" t="s">
        <v>252</v>
      </c>
      <c r="C36" s="2" t="s">
        <v>244</v>
      </c>
      <c r="D36" s="2" t="s">
        <v>245</v>
      </c>
      <c r="E36" s="2" t="s">
        <v>246</v>
      </c>
    </row>
    <row r="37" spans="1:8" ht="14.4">
      <c r="B37" s="2" t="s">
        <v>253</v>
      </c>
      <c r="C37" s="2">
        <v>0.75649999999999995</v>
      </c>
      <c r="D37" s="2">
        <v>1</v>
      </c>
      <c r="E37" s="2">
        <v>0.1986</v>
      </c>
    </row>
    <row r="38" spans="1:8" ht="14.4">
      <c r="B38" s="2" t="s">
        <v>254</v>
      </c>
      <c r="C38" s="2">
        <f>1-C37</f>
        <v>0.24350000000000005</v>
      </c>
      <c r="D38" s="2">
        <f t="shared" ref="D38:E38" si="5">1-D37</f>
        <v>0</v>
      </c>
      <c r="E38" s="2">
        <f t="shared" si="5"/>
        <v>0.8014</v>
      </c>
    </row>
    <row r="39" spans="1:8" ht="14.4">
      <c r="B39" s="2" t="s">
        <v>255</v>
      </c>
      <c r="D39" s="6" t="s">
        <v>256</v>
      </c>
    </row>
    <row r="40" spans="1:8">
      <c r="B40" s="2" t="s">
        <v>160</v>
      </c>
      <c r="C40" s="2" t="s">
        <v>247</v>
      </c>
      <c r="D40" s="2" t="s">
        <v>244</v>
      </c>
      <c r="E40" s="2" t="s">
        <v>245</v>
      </c>
      <c r="F40" s="2" t="s">
        <v>246</v>
      </c>
    </row>
    <row r="41" spans="1:8">
      <c r="B41" s="2">
        <f>E38/(C38+E38)</f>
        <v>0.76696334577471514</v>
      </c>
      <c r="C41" s="2">
        <f>C38/(C38+E38)</f>
        <v>0.23303665422528472</v>
      </c>
      <c r="D41" s="2">
        <f>B41^2</f>
        <v>0.58823277376194527</v>
      </c>
      <c r="E41" s="2">
        <f>2*B41*C41</f>
        <v>0.35746114402553952</v>
      </c>
      <c r="F41" s="2">
        <f>C41^2</f>
        <v>5.4306082212514907E-2</v>
      </c>
    </row>
    <row r="42" spans="1:8" ht="14.4">
      <c r="D42" s="6" t="s">
        <v>257</v>
      </c>
      <c r="E42" s="6" t="s">
        <v>258</v>
      </c>
      <c r="F42" s="6" t="s">
        <v>258</v>
      </c>
    </row>
    <row r="44" spans="1:8" ht="14.4">
      <c r="A44" s="1" t="s">
        <v>259</v>
      </c>
      <c r="B44" s="6" t="s">
        <v>260</v>
      </c>
      <c r="C44" s="2" t="s">
        <v>2</v>
      </c>
      <c r="D44" s="2" t="s">
        <v>3</v>
      </c>
      <c r="E44" s="2" t="s">
        <v>4</v>
      </c>
      <c r="F44" s="2" t="s">
        <v>95</v>
      </c>
    </row>
    <row r="45" spans="1:8" ht="16.8">
      <c r="B45" s="6" t="s">
        <v>261</v>
      </c>
      <c r="C45" s="2" t="s">
        <v>262</v>
      </c>
      <c r="D45" s="2" t="s">
        <v>263</v>
      </c>
      <c r="E45" s="2" t="s">
        <v>264</v>
      </c>
      <c r="F45" s="2">
        <v>1</v>
      </c>
    </row>
    <row r="46" spans="1:8" ht="14.4">
      <c r="B46" s="6" t="s">
        <v>265</v>
      </c>
      <c r="C46" s="2">
        <v>1</v>
      </c>
      <c r="D46" s="2" t="s">
        <v>266</v>
      </c>
      <c r="E46" s="2" t="s">
        <v>267</v>
      </c>
    </row>
    <row r="47" spans="1:8" ht="16.8">
      <c r="B47" s="6" t="s">
        <v>268</v>
      </c>
      <c r="C47" s="2" t="s">
        <v>262</v>
      </c>
      <c r="D47" s="2" t="s">
        <v>269</v>
      </c>
      <c r="E47" s="2" t="s">
        <v>270</v>
      </c>
      <c r="F47" s="2" t="s">
        <v>271</v>
      </c>
    </row>
    <row r="48" spans="1:8" ht="16.8">
      <c r="B48" s="2" t="s">
        <v>272</v>
      </c>
      <c r="C48" s="2" t="s">
        <v>273</v>
      </c>
    </row>
    <row r="50" spans="1:6" ht="14.4">
      <c r="A50" s="1" t="s">
        <v>274</v>
      </c>
      <c r="B50" s="6" t="s">
        <v>260</v>
      </c>
      <c r="C50" s="2" t="s">
        <v>2</v>
      </c>
      <c r="D50" s="2" t="s">
        <v>3</v>
      </c>
      <c r="E50" s="2" t="s">
        <v>4</v>
      </c>
      <c r="F50" s="2" t="s">
        <v>275</v>
      </c>
    </row>
    <row r="51" spans="1:6" ht="14.4">
      <c r="B51" s="6" t="s">
        <v>265</v>
      </c>
      <c r="C51" s="2">
        <v>1</v>
      </c>
      <c r="D51" s="2">
        <v>0.9</v>
      </c>
      <c r="E51" s="2">
        <v>0.8</v>
      </c>
      <c r="F51" s="2">
        <f>0.2</f>
        <v>0.2</v>
      </c>
    </row>
    <row r="52" spans="1:6" ht="14.4">
      <c r="B52" s="6"/>
      <c r="C52" s="6" t="s">
        <v>1507</v>
      </c>
    </row>
    <row r="53" spans="1:6" ht="14.4">
      <c r="B53" s="6" t="s">
        <v>276</v>
      </c>
      <c r="C53" s="6" t="s">
        <v>1508</v>
      </c>
    </row>
    <row r="54" spans="1:6" ht="14.4">
      <c r="B54" s="6">
        <v>0</v>
      </c>
      <c r="C54" s="2">
        <v>0.95</v>
      </c>
    </row>
    <row r="55" spans="1:6" ht="14.4">
      <c r="B55" s="6">
        <f>B54+1</f>
        <v>1</v>
      </c>
      <c r="C55" s="2">
        <f>(C54-0.2*C54/2-0.2*C54^2/2)/(1-C54*0.2)</f>
        <v>0.94413580246913575</v>
      </c>
    </row>
    <row r="56" spans="1:6" ht="14.4">
      <c r="B56" s="6">
        <f t="shared" ref="B56:B119" si="6">B55+1</f>
        <v>2</v>
      </c>
      <c r="C56" s="2">
        <f t="shared" ref="C56:C119" si="7">(C55-0.2*C55/2-0.2*C55^2/2)/(1-C55*0.2)</f>
        <v>0.93763368770439515</v>
      </c>
    </row>
    <row r="57" spans="1:6" ht="14.4">
      <c r="B57" s="6">
        <f t="shared" si="6"/>
        <v>3</v>
      </c>
      <c r="C57" s="2">
        <f t="shared" si="7"/>
        <v>0.9304363117305372</v>
      </c>
    </row>
    <row r="58" spans="1:6" ht="14.4">
      <c r="B58" s="6">
        <f t="shared" si="6"/>
        <v>4</v>
      </c>
      <c r="C58" s="2">
        <f t="shared" si="7"/>
        <v>0.92248403643744115</v>
      </c>
    </row>
    <row r="59" spans="1:6" ht="14.4">
      <c r="B59" s="6">
        <f t="shared" si="6"/>
        <v>5</v>
      </c>
      <c r="C59" s="2">
        <f t="shared" si="7"/>
        <v>0.91371555587298359</v>
      </c>
    </row>
    <row r="60" spans="1:6" ht="14.4">
      <c r="B60" s="6">
        <f t="shared" si="6"/>
        <v>6</v>
      </c>
      <c r="C60" s="2">
        <f t="shared" si="7"/>
        <v>0.90406871900850394</v>
      </c>
    </row>
    <row r="61" spans="1:6" ht="14.4">
      <c r="B61" s="6">
        <f t="shared" si="6"/>
        <v>7</v>
      </c>
      <c r="C61" s="2">
        <f t="shared" si="7"/>
        <v>0.89348156991236083</v>
      </c>
    </row>
    <row r="62" spans="1:6" ht="14.4">
      <c r="B62" s="6">
        <f t="shared" si="6"/>
        <v>8</v>
      </c>
      <c r="C62" s="2">
        <f t="shared" si="7"/>
        <v>0.88189362068485999</v>
      </c>
    </row>
    <row r="63" spans="1:6" ht="14.4">
      <c r="B63" s="6">
        <f t="shared" si="6"/>
        <v>9</v>
      </c>
      <c r="C63" s="2">
        <f t="shared" si="7"/>
        <v>0.86924736377860556</v>
      </c>
    </row>
    <row r="64" spans="1:6" ht="14.4">
      <c r="B64" s="6">
        <f t="shared" si="6"/>
        <v>10</v>
      </c>
      <c r="C64" s="2">
        <f t="shared" si="7"/>
        <v>0.85549001804142333</v>
      </c>
    </row>
    <row r="65" spans="2:3" ht="14.4">
      <c r="B65" s="6">
        <f t="shared" si="6"/>
        <v>11</v>
      </c>
      <c r="C65" s="2">
        <f t="shared" si="7"/>
        <v>0.84057548681685534</v>
      </c>
    </row>
    <row r="66" spans="2:3" ht="14.4">
      <c r="B66" s="6">
        <f t="shared" si="6"/>
        <v>12</v>
      </c>
      <c r="C66" s="2">
        <f t="shared" si="7"/>
        <v>0.82446648695945579</v>
      </c>
    </row>
    <row r="67" spans="2:3" ht="14.4">
      <c r="B67" s="6">
        <f t="shared" si="6"/>
        <v>13</v>
      </c>
      <c r="C67" s="2">
        <f t="shared" si="7"/>
        <v>0.80713678545086864</v>
      </c>
    </row>
    <row r="68" spans="2:3" ht="14.4">
      <c r="B68" s="6">
        <f t="shared" si="6"/>
        <v>14</v>
      </c>
      <c r="C68" s="2">
        <f t="shared" si="7"/>
        <v>0.78857345687831393</v>
      </c>
    </row>
    <row r="69" spans="2:3" ht="14.4">
      <c r="B69" s="6">
        <f t="shared" si="6"/>
        <v>15</v>
      </c>
      <c r="C69" s="2">
        <f t="shared" si="7"/>
        <v>0.76877905250272249</v>
      </c>
    </row>
    <row r="70" spans="2:3" ht="14.4">
      <c r="B70" s="6">
        <f t="shared" si="6"/>
        <v>16</v>
      </c>
      <c r="C70" s="2">
        <f t="shared" si="7"/>
        <v>0.74777355277327906</v>
      </c>
    </row>
    <row r="71" spans="2:3" ht="14.4">
      <c r="B71" s="6">
        <f t="shared" si="6"/>
        <v>17</v>
      </c>
      <c r="C71" s="2">
        <f t="shared" si="7"/>
        <v>0.72559596311679264</v>
      </c>
    </row>
    <row r="72" spans="2:3" ht="14.4">
      <c r="B72" s="6">
        <f t="shared" si="6"/>
        <v>18</v>
      </c>
      <c r="C72" s="2">
        <f t="shared" si="7"/>
        <v>0.70230541083074927</v>
      </c>
    </row>
    <row r="73" spans="2:3" ht="14.4">
      <c r="B73" s="6">
        <f t="shared" si="6"/>
        <v>19</v>
      </c>
      <c r="C73" s="2">
        <f t="shared" si="7"/>
        <v>0.67798161159249126</v>
      </c>
    </row>
    <row r="74" spans="2:3" ht="14.4">
      <c r="B74" s="6">
        <f t="shared" si="6"/>
        <v>20</v>
      </c>
      <c r="C74" s="2">
        <f t="shared" si="7"/>
        <v>0.65272459897536284</v>
      </c>
    </row>
    <row r="75" spans="2:3" ht="14.4">
      <c r="B75" s="6">
        <f t="shared" si="6"/>
        <v>21</v>
      </c>
      <c r="C75" s="2">
        <f t="shared" si="7"/>
        <v>0.62665364924735756</v>
      </c>
    </row>
    <row r="76" spans="2:3" ht="14.4">
      <c r="B76" s="6">
        <f t="shared" si="6"/>
        <v>22</v>
      </c>
      <c r="C76" s="2">
        <f t="shared" si="7"/>
        <v>0.59990538437553187</v>
      </c>
    </row>
    <row r="77" spans="2:3" ht="14.4">
      <c r="B77" s="6">
        <f t="shared" si="6"/>
        <v>23</v>
      </c>
      <c r="C77" s="2">
        <f t="shared" si="7"/>
        <v>0.57263109425907788</v>
      </c>
    </row>
    <row r="78" spans="2:3" ht="14.4">
      <c r="B78" s="6">
        <f t="shared" si="6"/>
        <v>24</v>
      </c>
      <c r="C78" s="2">
        <f t="shared" si="7"/>
        <v>0.54499337879455023</v>
      </c>
    </row>
    <row r="79" spans="2:3" ht="14.4">
      <c r="B79" s="6">
        <f t="shared" si="6"/>
        <v>25</v>
      </c>
      <c r="C79" s="2">
        <f t="shared" si="7"/>
        <v>0.51716226461793957</v>
      </c>
    </row>
    <row r="80" spans="2:3" ht="14.4">
      <c r="B80" s="6">
        <f t="shared" si="6"/>
        <v>26</v>
      </c>
      <c r="C80" s="2">
        <f t="shared" si="7"/>
        <v>0.48931099368052494</v>
      </c>
    </row>
    <row r="81" spans="2:3" ht="14.4">
      <c r="B81" s="6">
        <f t="shared" si="6"/>
        <v>27</v>
      </c>
      <c r="C81" s="2">
        <f t="shared" si="7"/>
        <v>0.46161170596707224</v>
      </c>
    </row>
    <row r="82" spans="2:3" ht="14.4">
      <c r="B82" s="6">
        <f t="shared" si="6"/>
        <v>28</v>
      </c>
      <c r="C82" s="2">
        <f t="shared" si="7"/>
        <v>0.4342312436994426</v>
      </c>
    </row>
    <row r="83" spans="2:3" ht="14.4">
      <c r="B83" s="6">
        <f t="shared" si="6"/>
        <v>29</v>
      </c>
      <c r="C83" s="2">
        <f t="shared" si="7"/>
        <v>0.40732728909643534</v>
      </c>
    </row>
    <row r="84" spans="2:3" ht="14.4">
      <c r="B84" s="6">
        <f t="shared" si="6"/>
        <v>30</v>
      </c>
      <c r="C84" s="2">
        <f t="shared" si="7"/>
        <v>0.3810450147161335</v>
      </c>
    </row>
    <row r="85" spans="2:3" ht="14.4">
      <c r="B85" s="6">
        <f t="shared" si="6"/>
        <v>31</v>
      </c>
      <c r="C85" s="2">
        <f t="shared" si="7"/>
        <v>0.35551437929886492</v>
      </c>
    </row>
    <row r="86" spans="2:3" ht="14.4">
      <c r="B86" s="6">
        <f t="shared" si="6"/>
        <v>32</v>
      </c>
      <c r="C86" s="2">
        <f t="shared" si="7"/>
        <v>0.33084814883521896</v>
      </c>
    </row>
    <row r="87" spans="2:3" ht="14.4">
      <c r="B87" s="6">
        <f t="shared" si="6"/>
        <v>33</v>
      </c>
      <c r="C87" s="2">
        <f t="shared" si="7"/>
        <v>0.30714066851496552</v>
      </c>
    </row>
    <row r="88" spans="2:3" ht="14.4">
      <c r="B88" s="6">
        <f t="shared" si="6"/>
        <v>34</v>
      </c>
      <c r="C88" s="2">
        <f t="shared" si="7"/>
        <v>0.28446736177088677</v>
      </c>
    </row>
    <row r="89" spans="2:3" ht="14.4">
      <c r="B89" s="6">
        <f t="shared" si="6"/>
        <v>35</v>
      </c>
      <c r="C89" s="2">
        <f t="shared" si="7"/>
        <v>0.26288489193409248</v>
      </c>
    </row>
    <row r="90" spans="2:3" ht="14.4">
      <c r="B90" s="6">
        <f t="shared" si="6"/>
        <v>36</v>
      </c>
      <c r="C90" s="2">
        <f t="shared" si="7"/>
        <v>0.24243189247066915</v>
      </c>
    </row>
    <row r="91" spans="2:3" ht="14.4">
      <c r="B91" s="6">
        <f t="shared" si="6"/>
        <v>37</v>
      </c>
      <c r="C91" s="2">
        <f t="shared" si="7"/>
        <v>0.22313015407904208</v>
      </c>
    </row>
    <row r="92" spans="2:3" ht="14.4">
      <c r="B92" s="6">
        <f t="shared" si="6"/>
        <v>38</v>
      </c>
      <c r="C92" s="2">
        <f t="shared" si="7"/>
        <v>0.20498615036835635</v>
      </c>
    </row>
    <row r="93" spans="2:3" ht="14.4">
      <c r="B93" s="6">
        <f t="shared" si="6"/>
        <v>39</v>
      </c>
      <c r="C93" s="2">
        <f t="shared" si="7"/>
        <v>0.18799278667473146</v>
      </c>
    </row>
    <row r="94" spans="2:3" ht="14.4">
      <c r="B94" s="6">
        <f t="shared" si="6"/>
        <v>40</v>
      </c>
      <c r="C94" s="2">
        <f t="shared" si="7"/>
        <v>0.17213126651633659</v>
      </c>
    </row>
    <row r="95" spans="2:3" ht="14.4">
      <c r="B95" s="6">
        <f t="shared" si="6"/>
        <v>41</v>
      </c>
      <c r="C95" s="2">
        <f t="shared" si="7"/>
        <v>0.15737298481166886</v>
      </c>
    </row>
    <row r="96" spans="2:3" ht="14.4">
      <c r="B96" s="6">
        <f t="shared" si="6"/>
        <v>42</v>
      </c>
      <c r="C96" s="2">
        <f t="shared" si="7"/>
        <v>0.14368137403437486</v>
      </c>
    </row>
    <row r="97" spans="2:3" ht="14.4">
      <c r="B97" s="6">
        <f t="shared" si="6"/>
        <v>43</v>
      </c>
      <c r="C97" s="2">
        <f t="shared" si="7"/>
        <v>0.13101364707221488</v>
      </c>
    </row>
    <row r="98" spans="2:3" ht="14.4">
      <c r="B98" s="6">
        <f t="shared" si="6"/>
        <v>44</v>
      </c>
      <c r="C98" s="2">
        <f t="shared" si="7"/>
        <v>0.11932239728214379</v>
      </c>
    </row>
    <row r="99" spans="2:3" ht="14.4">
      <c r="B99" s="6">
        <f t="shared" si="6"/>
        <v>45</v>
      </c>
      <c r="C99" s="2">
        <f t="shared" si="7"/>
        <v>0.10855703114420542</v>
      </c>
    </row>
    <row r="100" spans="2:3" ht="14.4">
      <c r="B100" s="6">
        <f t="shared" si="6"/>
        <v>46</v>
      </c>
      <c r="C100" s="2">
        <f t="shared" si="7"/>
        <v>9.8665021490866006E-2</v>
      </c>
    </row>
    <row r="101" spans="2:3" ht="14.4">
      <c r="B101" s="6">
        <f t="shared" si="6"/>
        <v>47</v>
      </c>
      <c r="C101" s="2">
        <f t="shared" si="7"/>
        <v>8.959297934163471E-2</v>
      </c>
    </row>
    <row r="102" spans="2:3" ht="14.4">
      <c r="B102" s="6">
        <f t="shared" si="6"/>
        <v>48</v>
      </c>
      <c r="C102" s="2">
        <f t="shared" si="7"/>
        <v>8.1287549969774997E-2</v>
      </c>
    </row>
    <row r="103" spans="2:3" ht="14.4">
      <c r="B103" s="6">
        <f t="shared" si="6"/>
        <v>49</v>
      </c>
      <c r="C103" s="2">
        <f t="shared" si="7"/>
        <v>7.3696144195563959E-2</v>
      </c>
    </row>
    <row r="104" spans="2:3" ht="14.4">
      <c r="B104" s="6">
        <f t="shared" si="6"/>
        <v>50</v>
      </c>
      <c r="C104" s="2">
        <f t="shared" si="7"/>
        <v>6.67675193558845E-2</v>
      </c>
    </row>
    <row r="105" spans="2:3" ht="14.4">
      <c r="B105" s="6">
        <f t="shared" si="6"/>
        <v>51</v>
      </c>
      <c r="C105" s="2">
        <f t="shared" si="7"/>
        <v>6.0452226294040949E-2</v>
      </c>
    </row>
    <row r="106" spans="2:3" ht="14.4">
      <c r="B106" s="6">
        <f t="shared" si="6"/>
        <v>52</v>
      </c>
      <c r="C106" s="2">
        <f t="shared" si="7"/>
        <v>5.470293939246678E-2</v>
      </c>
    </row>
    <row r="107" spans="2:3" ht="14.4">
      <c r="B107" s="6">
        <f t="shared" si="6"/>
        <v>53</v>
      </c>
      <c r="C107" s="2">
        <f t="shared" si="7"/>
        <v>4.9474686450272629E-2</v>
      </c>
    </row>
    <row r="108" spans="2:3" ht="14.4">
      <c r="B108" s="6">
        <f t="shared" si="6"/>
        <v>54</v>
      </c>
      <c r="C108" s="2">
        <f t="shared" si="7"/>
        <v>4.4724994359798334E-2</v>
      </c>
    </row>
    <row r="109" spans="2:3" ht="14.4">
      <c r="B109" s="6">
        <f t="shared" si="6"/>
        <v>55</v>
      </c>
      <c r="C109" s="2">
        <f t="shared" si="7"/>
        <v>4.0413965285661761E-2</v>
      </c>
    </row>
    <row r="110" spans="2:3" ht="14.4">
      <c r="B110" s="6">
        <f t="shared" si="6"/>
        <v>56</v>
      </c>
      <c r="C110" s="2">
        <f t="shared" si="7"/>
        <v>3.6504296572980106E-2</v>
      </c>
    </row>
    <row r="111" spans="2:3" ht="14.4">
      <c r="B111" s="6">
        <f t="shared" si="6"/>
        <v>57</v>
      </c>
      <c r="C111" s="2">
        <f t="shared" si="7"/>
        <v>3.2961256042048664E-2</v>
      </c>
    </row>
    <row r="112" spans="2:3" ht="14.4">
      <c r="B112" s="6">
        <f t="shared" si="6"/>
        <v>58</v>
      </c>
      <c r="C112" s="2">
        <f t="shared" si="7"/>
        <v>2.9752622761207784E-2</v>
      </c>
    </row>
    <row r="113" spans="2:3" ht="14.4">
      <c r="B113" s="6">
        <f t="shared" si="6"/>
        <v>59</v>
      </c>
      <c r="C113" s="2">
        <f t="shared" si="7"/>
        <v>2.6848601893731942E-2</v>
      </c>
    </row>
    <row r="114" spans="2:3" ht="14.4">
      <c r="B114" s="6">
        <f t="shared" si="6"/>
        <v>60</v>
      </c>
      <c r="C114" s="2">
        <f t="shared" si="7"/>
        <v>2.4221720829942787E-2</v>
      </c>
    </row>
    <row r="115" spans="2:3" ht="14.4">
      <c r="B115" s="6">
        <f t="shared" si="6"/>
        <v>61</v>
      </c>
      <c r="C115" s="2">
        <f t="shared" si="7"/>
        <v>2.184671256551492E-2</v>
      </c>
    </row>
    <row r="116" spans="2:3" ht="14.4">
      <c r="B116" s="6">
        <f t="shared" si="6"/>
        <v>62</v>
      </c>
      <c r="C116" s="2">
        <f t="shared" si="7"/>
        <v>1.9700391180681918E-2</v>
      </c>
    </row>
    <row r="117" spans="2:3" ht="14.4">
      <c r="B117" s="6">
        <f t="shared" si="6"/>
        <v>63</v>
      </c>
      <c r="C117" s="2">
        <f t="shared" si="7"/>
        <v>1.7761523312791901E-2</v>
      </c>
    </row>
    <row r="118" spans="2:3" ht="14.4">
      <c r="B118" s="6">
        <f t="shared" si="6"/>
        <v>64</v>
      </c>
      <c r="C118" s="2">
        <f t="shared" si="7"/>
        <v>1.6010698690081218E-2</v>
      </c>
    </row>
    <row r="119" spans="2:3" ht="14.4">
      <c r="B119" s="6">
        <f t="shared" si="6"/>
        <v>65</v>
      </c>
      <c r="C119" s="2">
        <f t="shared" si="7"/>
        <v>1.4430202097382272E-2</v>
      </c>
    </row>
    <row r="120" spans="2:3" ht="14.4">
      <c r="B120" s="6">
        <f t="shared" ref="B120:B153" si="8">B119+1</f>
        <v>66</v>
      </c>
      <c r="C120" s="2">
        <f t="shared" ref="C120:C154" si="9">(C119-0.2*C119/2-0.2*C119^2/2)/(1-C119*0.2)</f>
        <v>1.3003888562388337E-2</v>
      </c>
    </row>
    <row r="121" spans="2:3" ht="14.4">
      <c r="B121" s="6">
        <f t="shared" si="8"/>
        <v>67</v>
      </c>
      <c r="C121" s="2">
        <f t="shared" si="9"/>
        <v>1.1717063070865603E-2</v>
      </c>
    </row>
    <row r="122" spans="2:3" ht="14.4">
      <c r="B122" s="6">
        <f t="shared" si="8"/>
        <v>68</v>
      </c>
      <c r="C122" s="2">
        <f t="shared" si="9"/>
        <v>1.0556365727684459E-2</v>
      </c>
    </row>
    <row r="123" spans="2:3" ht="14.4">
      <c r="B123" s="6">
        <f t="shared" si="8"/>
        <v>69</v>
      </c>
      <c r="C123" s="2">
        <f t="shared" si="9"/>
        <v>9.5096629652199269E-3</v>
      </c>
    </row>
    <row r="124" spans="2:3" ht="14.4">
      <c r="B124" s="6">
        <f t="shared" si="8"/>
        <v>70</v>
      </c>
      <c r="C124" s="2">
        <f t="shared" si="9"/>
        <v>8.5659451499977349E-3</v>
      </c>
    </row>
    <row r="125" spans="2:3" ht="14.4">
      <c r="B125" s="6">
        <f t="shared" si="8"/>
        <v>71</v>
      </c>
      <c r="C125" s="2">
        <f t="shared" si="9"/>
        <v>7.7152307420378591E-3</v>
      </c>
    </row>
    <row r="126" spans="2:3" ht="14.4">
      <c r="B126" s="6">
        <f t="shared" si="8"/>
        <v>72</v>
      </c>
      <c r="C126" s="2">
        <f t="shared" si="9"/>
        <v>6.948477009981335E-3</v>
      </c>
    </row>
    <row r="127" spans="2:3" ht="14.4">
      <c r="B127" s="6">
        <f t="shared" si="8"/>
        <v>73</v>
      </c>
      <c r="C127" s="2">
        <f t="shared" si="9"/>
        <v>6.2574971907814114E-3</v>
      </c>
    </row>
    <row r="128" spans="2:3" ht="14.4">
      <c r="B128" s="6">
        <f t="shared" si="8"/>
        <v>74</v>
      </c>
      <c r="C128" s="2">
        <f t="shared" si="9"/>
        <v>5.6348838986272146E-3</v>
      </c>
    </row>
    <row r="129" spans="2:3" ht="14.4">
      <c r="B129" s="6">
        <f t="shared" si="8"/>
        <v>75</v>
      </c>
      <c r="C129" s="2">
        <f t="shared" si="9"/>
        <v>5.0739385280122165E-3</v>
      </c>
    </row>
    <row r="130" spans="2:3" ht="14.4">
      <c r="B130" s="6">
        <f t="shared" si="8"/>
        <v>76</v>
      </c>
      <c r="C130" s="2">
        <f t="shared" si="9"/>
        <v>4.5686063555537438E-3</v>
      </c>
    </row>
    <row r="131" spans="2:3" ht="14.4">
      <c r="B131" s="6">
        <f t="shared" si="8"/>
        <v>77</v>
      </c>
      <c r="C131" s="2">
        <f t="shared" si="9"/>
        <v>4.1134170202234959E-3</v>
      </c>
    </row>
    <row r="132" spans="2:3" ht="14.4">
      <c r="B132" s="6">
        <f t="shared" si="8"/>
        <v>78</v>
      </c>
      <c r="C132" s="2">
        <f t="shared" si="9"/>
        <v>3.7034300486820113E-3</v>
      </c>
    </row>
    <row r="133" spans="2:3" ht="14.4">
      <c r="B133" s="6">
        <f t="shared" si="8"/>
        <v>79</v>
      </c>
      <c r="C133" s="2">
        <f t="shared" si="9"/>
        <v>3.3341850886502971E-3</v>
      </c>
    </row>
    <row r="134" spans="2:3" ht="14.4">
      <c r="B134" s="6">
        <f t="shared" si="8"/>
        <v>80</v>
      </c>
      <c r="C134" s="2">
        <f t="shared" si="9"/>
        <v>3.0016565164444052E-3</v>
      </c>
    </row>
    <row r="135" spans="2:3" ht="14.4">
      <c r="B135" s="6">
        <f t="shared" si="8"/>
        <v>81</v>
      </c>
      <c r="C135" s="2">
        <f t="shared" si="9"/>
        <v>2.702212093123321E-3</v>
      </c>
    </row>
    <row r="136" spans="2:3" ht="14.4">
      <c r="B136" s="6">
        <f t="shared" si="8"/>
        <v>82</v>
      </c>
      <c r="C136" s="2">
        <f t="shared" si="9"/>
        <v>2.4325753557000881E-3</v>
      </c>
    </row>
    <row r="137" spans="2:3" ht="14.4">
      <c r="B137" s="6">
        <f t="shared" si="8"/>
        <v>83</v>
      </c>
      <c r="C137" s="2">
        <f t="shared" si="9"/>
        <v>2.1897914443843097E-3</v>
      </c>
    </row>
    <row r="138" spans="2:3" ht="14.4">
      <c r="B138" s="6">
        <f t="shared" si="8"/>
        <v>84</v>
      </c>
      <c r="C138" s="2">
        <f t="shared" si="9"/>
        <v>1.971196082952419E-3</v>
      </c>
    </row>
    <row r="139" spans="2:3" ht="14.4">
      <c r="B139" s="6">
        <f t="shared" si="8"/>
        <v>85</v>
      </c>
      <c r="C139" s="2">
        <f t="shared" si="9"/>
        <v>1.7743874463742189E-3</v>
      </c>
    </row>
    <row r="140" spans="2:3" ht="14.4">
      <c r="B140" s="6">
        <f t="shared" si="8"/>
        <v>86</v>
      </c>
      <c r="C140" s="2">
        <f t="shared" si="9"/>
        <v>1.5972006672184628E-3</v>
      </c>
    </row>
    <row r="141" spans="2:3" ht="14.4">
      <c r="B141" s="6">
        <f t="shared" si="8"/>
        <v>87</v>
      </c>
      <c r="C141" s="2">
        <f t="shared" si="9"/>
        <v>1.4376847497077768E-3</v>
      </c>
    </row>
    <row r="142" spans="2:3" ht="14.4">
      <c r="B142" s="6">
        <f t="shared" si="8"/>
        <v>88</v>
      </c>
      <c r="C142" s="2">
        <f t="shared" si="9"/>
        <v>1.2940816772915086E-3</v>
      </c>
    </row>
    <row r="143" spans="2:3" ht="14.4">
      <c r="B143" s="6">
        <f t="shared" si="8"/>
        <v>89</v>
      </c>
      <c r="C143" s="2">
        <f t="shared" si="9"/>
        <v>1.1648075160364225E-3</v>
      </c>
    </row>
    <row r="144" spans="2:3" ht="14.4">
      <c r="B144" s="6">
        <f t="shared" si="8"/>
        <v>90</v>
      </c>
      <c r="C144" s="2">
        <f t="shared" si="9"/>
        <v>1.0484353318487617E-3</v>
      </c>
    </row>
    <row r="145" spans="1:6" ht="14.4">
      <c r="B145" s="6">
        <f t="shared" si="8"/>
        <v>91</v>
      </c>
      <c r="C145" s="2">
        <f t="shared" si="9"/>
        <v>9.4367975443867939E-4</v>
      </c>
    </row>
    <row r="146" spans="1:6" ht="14.4">
      <c r="B146" s="6">
        <f t="shared" si="8"/>
        <v>92</v>
      </c>
      <c r="C146" s="2">
        <f t="shared" si="9"/>
        <v>8.4938303496168914E-4</v>
      </c>
    </row>
    <row r="147" spans="1:6" ht="14.4">
      <c r="B147" s="6">
        <f t="shared" si="8"/>
        <v>93</v>
      </c>
      <c r="C147" s="2">
        <f t="shared" si="9"/>
        <v>7.6450245739501164E-4</v>
      </c>
    </row>
    <row r="148" spans="1:6" ht="14.4">
      <c r="B148" s="6">
        <f t="shared" si="8"/>
        <v>94</v>
      </c>
      <c r="C148" s="2">
        <f t="shared" si="9"/>
        <v>6.8809897592637947E-4</v>
      </c>
    </row>
    <row r="149" spans="1:6" ht="14.4">
      <c r="B149" s="6">
        <f t="shared" si="8"/>
        <v>95</v>
      </c>
      <c r="C149" s="2">
        <f t="shared" si="9"/>
        <v>6.1932696196333246E-4</v>
      </c>
    </row>
    <row r="150" spans="1:6" ht="14.4">
      <c r="B150" s="6">
        <f t="shared" si="8"/>
        <v>96</v>
      </c>
      <c r="C150" s="2">
        <f t="shared" si="9"/>
        <v>5.5742495483917826E-4</v>
      </c>
    </row>
    <row r="151" spans="1:6" ht="14.4">
      <c r="B151" s="6">
        <f t="shared" si="8"/>
        <v>97</v>
      </c>
      <c r="C151" s="2">
        <f t="shared" si="9"/>
        <v>5.0170731993326402E-4</v>
      </c>
    </row>
    <row r="152" spans="1:6" ht="14.4">
      <c r="B152" s="6">
        <f t="shared" si="8"/>
        <v>98</v>
      </c>
      <c r="C152" s="2">
        <f t="shared" si="9"/>
        <v>4.5155672677948819E-4</v>
      </c>
    </row>
    <row r="153" spans="1:6" ht="14.4">
      <c r="B153" s="6">
        <f t="shared" si="8"/>
        <v>99</v>
      </c>
      <c r="C153" s="2">
        <f t="shared" si="9"/>
        <v>4.0641736785305618E-4</v>
      </c>
    </row>
    <row r="154" spans="1:6" ht="14.4">
      <c r="B154" s="6">
        <f t="shared" ref="B154" si="10">B153+1</f>
        <v>100</v>
      </c>
      <c r="C154" s="2">
        <f t="shared" si="9"/>
        <v>3.6578884614806961E-4</v>
      </c>
    </row>
    <row r="156" spans="1:6" ht="14.4">
      <c r="A156" s="1" t="s">
        <v>277</v>
      </c>
      <c r="B156" s="6" t="s">
        <v>260</v>
      </c>
      <c r="C156" s="2" t="s">
        <v>2</v>
      </c>
      <c r="D156" s="2" t="s">
        <v>3</v>
      </c>
      <c r="E156" s="2" t="s">
        <v>4</v>
      </c>
      <c r="F156" s="2" t="s">
        <v>95</v>
      </c>
    </row>
    <row r="157" spans="1:6" ht="16.8">
      <c r="B157" s="6" t="s">
        <v>261</v>
      </c>
      <c r="C157" s="2" t="s">
        <v>262</v>
      </c>
      <c r="D157" s="2" t="s">
        <v>263</v>
      </c>
      <c r="E157" s="2" t="s">
        <v>264</v>
      </c>
      <c r="F157" s="2">
        <v>1</v>
      </c>
    </row>
    <row r="158" spans="1:6" ht="14.4">
      <c r="B158" s="6" t="s">
        <v>265</v>
      </c>
      <c r="C158" s="2" t="s">
        <v>267</v>
      </c>
      <c r="D158" s="2" t="s">
        <v>267</v>
      </c>
      <c r="E158" s="2">
        <v>1</v>
      </c>
    </row>
    <row r="159" spans="1:6" ht="16.8">
      <c r="B159" s="6" t="s">
        <v>268</v>
      </c>
      <c r="C159" s="2" t="s">
        <v>278</v>
      </c>
      <c r="D159" s="2" t="s">
        <v>279</v>
      </c>
      <c r="E159" s="2" t="s">
        <v>280</v>
      </c>
      <c r="F159" s="2" t="s">
        <v>281</v>
      </c>
    </row>
    <row r="160" spans="1:6" ht="16.8">
      <c r="B160" s="2" t="s">
        <v>272</v>
      </c>
      <c r="C160" s="2" t="s">
        <v>1509</v>
      </c>
    </row>
    <row r="162" spans="1:11" ht="14.4">
      <c r="A162" s="1" t="s">
        <v>282</v>
      </c>
      <c r="C162" s="2" t="s">
        <v>283</v>
      </c>
      <c r="G162" s="1" t="s">
        <v>284</v>
      </c>
      <c r="H162" s="10" t="s">
        <v>285</v>
      </c>
    </row>
    <row r="163" spans="1:11">
      <c r="C163" s="2" t="s">
        <v>162</v>
      </c>
      <c r="D163" s="2" t="s">
        <v>198</v>
      </c>
      <c r="E163" s="2" t="s">
        <v>199</v>
      </c>
      <c r="F163" s="2" t="s">
        <v>200</v>
      </c>
      <c r="H163" s="2" t="s">
        <v>160</v>
      </c>
      <c r="I163" s="2" t="s">
        <v>187</v>
      </c>
      <c r="J163" s="2" t="s">
        <v>161</v>
      </c>
      <c r="K163" s="2" t="s">
        <v>211</v>
      </c>
    </row>
    <row r="164" spans="1:11">
      <c r="C164" s="2">
        <v>0.1</v>
      </c>
      <c r="D164" s="2">
        <v>0.4</v>
      </c>
      <c r="E164" s="2">
        <v>0.1</v>
      </c>
      <c r="F164" s="2">
        <v>0.4</v>
      </c>
      <c r="G164" s="2">
        <f>C164*F164-D164*E164</f>
        <v>0</v>
      </c>
      <c r="H164" s="2">
        <f>C164+D164</f>
        <v>0.5</v>
      </c>
      <c r="I164" s="2">
        <f>1-H164</f>
        <v>0.5</v>
      </c>
      <c r="J164" s="2">
        <f>C164+E164</f>
        <v>0.2</v>
      </c>
      <c r="K164" s="2">
        <f>1-J164</f>
        <v>0.8</v>
      </c>
    </row>
    <row r="165" spans="1:11" ht="14.4">
      <c r="C165" s="1" t="s">
        <v>286</v>
      </c>
      <c r="F165" s="2" t="s">
        <v>289</v>
      </c>
      <c r="H165" s="10" t="s">
        <v>290</v>
      </c>
    </row>
    <row r="166" spans="1:11" s="7" customFormat="1" ht="14.4">
      <c r="C166" s="57" t="s">
        <v>1510</v>
      </c>
      <c r="D166" s="7" t="s">
        <v>287</v>
      </c>
      <c r="E166" s="7" t="s">
        <v>288</v>
      </c>
      <c r="F166" s="57" t="s">
        <v>1511</v>
      </c>
      <c r="H166" s="56" t="s">
        <v>1512</v>
      </c>
    </row>
    <row r="167" spans="1:11">
      <c r="B167" s="2" t="s">
        <v>291</v>
      </c>
      <c r="C167" s="2">
        <f>C164^2</f>
        <v>1.0000000000000002E-2</v>
      </c>
      <c r="D167" s="2">
        <v>1</v>
      </c>
      <c r="E167" s="2">
        <f>C167*D167</f>
        <v>1.0000000000000002E-2</v>
      </c>
      <c r="F167" s="2">
        <f t="shared" ref="F167:F175" si="11">E167/$E$176</f>
        <v>1.3333333333333332E-2</v>
      </c>
      <c r="H167" s="2" t="s">
        <v>160</v>
      </c>
      <c r="I167" s="2" t="s">
        <v>187</v>
      </c>
      <c r="J167" s="2" t="s">
        <v>161</v>
      </c>
      <c r="K167" s="2" t="s">
        <v>211</v>
      </c>
    </row>
    <row r="168" spans="1:11">
      <c r="B168" s="2" t="s">
        <v>292</v>
      </c>
      <c r="C168" s="2">
        <f>2*C164*D164</f>
        <v>8.0000000000000016E-2</v>
      </c>
      <c r="D168" s="2">
        <v>1</v>
      </c>
      <c r="E168" s="2">
        <f t="shared" ref="E168:E175" si="12">C168*D168</f>
        <v>8.0000000000000016E-2</v>
      </c>
      <c r="F168" s="2">
        <f t="shared" si="11"/>
        <v>0.10666666666666666</v>
      </c>
      <c r="H168" s="2">
        <f>F167+F168+F169+F170/2+F171/2+F172/2</f>
        <v>0.66666666666666652</v>
      </c>
      <c r="I168" s="2">
        <f>1-H168</f>
        <v>0.33333333333333348</v>
      </c>
      <c r="J168" s="2">
        <f>F167+F168/2+F170+F171/2</f>
        <v>0.19999999999999998</v>
      </c>
      <c r="K168" s="2">
        <f>1-J168</f>
        <v>0.8</v>
      </c>
    </row>
    <row r="169" spans="1:11">
      <c r="B169" s="2" t="s">
        <v>293</v>
      </c>
      <c r="C169" s="2">
        <f>D164^2</f>
        <v>0.16000000000000003</v>
      </c>
      <c r="D169" s="2">
        <v>1</v>
      </c>
      <c r="E169" s="2">
        <f t="shared" si="12"/>
        <v>0.16000000000000003</v>
      </c>
      <c r="F169" s="2">
        <f t="shared" si="11"/>
        <v>0.21333333333333332</v>
      </c>
    </row>
    <row r="170" spans="1:11">
      <c r="B170" s="2" t="s">
        <v>294</v>
      </c>
      <c r="C170" s="2">
        <f>2*C164*E164</f>
        <v>2.0000000000000004E-2</v>
      </c>
      <c r="D170" s="2">
        <v>1</v>
      </c>
      <c r="E170" s="2">
        <f t="shared" si="12"/>
        <v>2.0000000000000004E-2</v>
      </c>
      <c r="F170" s="2">
        <f t="shared" si="11"/>
        <v>2.6666666666666665E-2</v>
      </c>
    </row>
    <row r="171" spans="1:11">
      <c r="B171" s="2" t="s">
        <v>295</v>
      </c>
      <c r="C171" s="2">
        <f>2*C164*F164+2*D164*E164</f>
        <v>0.16000000000000003</v>
      </c>
      <c r="D171" s="2">
        <v>1</v>
      </c>
      <c r="E171" s="2">
        <f t="shared" si="12"/>
        <v>0.16000000000000003</v>
      </c>
      <c r="F171" s="2">
        <f t="shared" si="11"/>
        <v>0.21333333333333332</v>
      </c>
    </row>
    <row r="172" spans="1:11">
      <c r="B172" s="2" t="s">
        <v>296</v>
      </c>
      <c r="C172" s="2">
        <f>2*D164*F164</f>
        <v>0.32000000000000006</v>
      </c>
      <c r="D172" s="2">
        <v>1</v>
      </c>
      <c r="E172" s="2">
        <f t="shared" si="12"/>
        <v>0.32000000000000006</v>
      </c>
      <c r="F172" s="2">
        <f t="shared" si="11"/>
        <v>0.42666666666666664</v>
      </c>
    </row>
    <row r="173" spans="1:11">
      <c r="B173" s="2" t="s">
        <v>297</v>
      </c>
      <c r="C173" s="2">
        <f>E164^2</f>
        <v>1.0000000000000002E-2</v>
      </c>
      <c r="D173" s="2">
        <v>0</v>
      </c>
      <c r="E173" s="2">
        <f t="shared" si="12"/>
        <v>0</v>
      </c>
      <c r="F173" s="2">
        <f t="shared" si="11"/>
        <v>0</v>
      </c>
    </row>
    <row r="174" spans="1:11">
      <c r="B174" s="2" t="s">
        <v>298</v>
      </c>
      <c r="C174" s="2">
        <f>2*E164*F164</f>
        <v>8.0000000000000016E-2</v>
      </c>
      <c r="D174" s="2">
        <v>0</v>
      </c>
      <c r="E174" s="2">
        <f t="shared" si="12"/>
        <v>0</v>
      </c>
      <c r="F174" s="2">
        <f t="shared" si="11"/>
        <v>0</v>
      </c>
    </row>
    <row r="175" spans="1:11">
      <c r="B175" s="2" t="s">
        <v>299</v>
      </c>
      <c r="C175" s="2">
        <f>F164^2</f>
        <v>0.16000000000000003</v>
      </c>
      <c r="D175" s="2">
        <v>0</v>
      </c>
      <c r="E175" s="2">
        <f t="shared" si="12"/>
        <v>0</v>
      </c>
      <c r="F175" s="2">
        <f t="shared" si="11"/>
        <v>0</v>
      </c>
    </row>
    <row r="176" spans="1:11" ht="14.4">
      <c r="B176" s="6" t="s">
        <v>804</v>
      </c>
      <c r="C176" s="2">
        <f>SUM(C167:C175)</f>
        <v>1.0000000000000004</v>
      </c>
      <c r="E176" s="2">
        <f>SUM(E167:E175)</f>
        <v>0.75000000000000022</v>
      </c>
      <c r="F176" s="2">
        <f>SUM(F167:F175)</f>
        <v>0.99999999999999989</v>
      </c>
    </row>
    <row r="178" spans="1:11" ht="14.4">
      <c r="A178" s="1" t="s">
        <v>300</v>
      </c>
      <c r="C178" s="2" t="s">
        <v>301</v>
      </c>
      <c r="G178" s="1" t="s">
        <v>302</v>
      </c>
      <c r="H178" s="10" t="s">
        <v>303</v>
      </c>
    </row>
    <row r="179" spans="1:11">
      <c r="C179" s="2" t="s">
        <v>304</v>
      </c>
      <c r="D179" s="2" t="s">
        <v>305</v>
      </c>
      <c r="E179" s="2" t="s">
        <v>306</v>
      </c>
      <c r="F179" s="2" t="s">
        <v>307</v>
      </c>
      <c r="H179" s="2" t="s">
        <v>236</v>
      </c>
      <c r="I179" s="2" t="s">
        <v>235</v>
      </c>
      <c r="J179" s="2" t="s">
        <v>308</v>
      </c>
      <c r="K179" s="2" t="s">
        <v>309</v>
      </c>
    </row>
    <row r="180" spans="1:11">
      <c r="C180" s="2">
        <v>0.15</v>
      </c>
      <c r="D180" s="2">
        <v>0.35</v>
      </c>
      <c r="E180" s="2">
        <v>0.05</v>
      </c>
      <c r="F180" s="2">
        <v>0.45</v>
      </c>
      <c r="G180" s="2">
        <f>C180*F180-D180*E180</f>
        <v>0.05</v>
      </c>
      <c r="H180" s="2">
        <f>C180+D180</f>
        <v>0.5</v>
      </c>
      <c r="I180" s="2">
        <f>1-H180</f>
        <v>0.5</v>
      </c>
      <c r="J180" s="2">
        <f>C180+E180</f>
        <v>0.2</v>
      </c>
      <c r="K180" s="2">
        <f>1-J180</f>
        <v>0.8</v>
      </c>
    </row>
    <row r="181" spans="1:11" ht="14.4">
      <c r="C181" s="1" t="s">
        <v>310</v>
      </c>
      <c r="D181" s="2" t="s">
        <v>311</v>
      </c>
      <c r="E181" s="2" t="s">
        <v>312</v>
      </c>
      <c r="F181" s="2" t="s">
        <v>313</v>
      </c>
      <c r="H181" s="10" t="s">
        <v>314</v>
      </c>
    </row>
    <row r="182" spans="1:11">
      <c r="B182" s="2" t="s">
        <v>315</v>
      </c>
      <c r="C182" s="2">
        <f>C180^2</f>
        <v>2.2499999999999999E-2</v>
      </c>
      <c r="D182" s="2">
        <v>1</v>
      </c>
      <c r="E182" s="2">
        <f>C182*D182</f>
        <v>2.2499999999999999E-2</v>
      </c>
      <c r="F182" s="2">
        <f t="shared" ref="F182:F190" si="13">E182/$E$176</f>
        <v>2.9999999999999988E-2</v>
      </c>
      <c r="H182" s="2" t="s">
        <v>160</v>
      </c>
      <c r="I182" s="2" t="s">
        <v>187</v>
      </c>
      <c r="J182" s="2" t="s">
        <v>161</v>
      </c>
      <c r="K182" s="2" t="s">
        <v>211</v>
      </c>
    </row>
    <row r="183" spans="1:11">
      <c r="B183" s="2" t="s">
        <v>292</v>
      </c>
      <c r="C183" s="2">
        <f>2*C180*D180</f>
        <v>0.105</v>
      </c>
      <c r="D183" s="2">
        <v>1</v>
      </c>
      <c r="E183" s="2">
        <f t="shared" ref="E183:E190" si="14">C183*D183</f>
        <v>0.105</v>
      </c>
      <c r="F183" s="2">
        <f t="shared" si="13"/>
        <v>0.13999999999999996</v>
      </c>
      <c r="H183" s="2">
        <f>F182+F183+F184+F185/2+F186/2+F187/2</f>
        <v>0.66666666666666652</v>
      </c>
      <c r="I183" s="2">
        <f>1-H183</f>
        <v>0.33333333333333348</v>
      </c>
      <c r="J183" s="2">
        <f>F182+F183/2+F185+F186/2</f>
        <v>0.23333333333333328</v>
      </c>
      <c r="K183" s="2">
        <f>1-J183</f>
        <v>0.76666666666666672</v>
      </c>
    </row>
    <row r="184" spans="1:11">
      <c r="B184" s="2" t="s">
        <v>293</v>
      </c>
      <c r="C184" s="2">
        <f>D180^2</f>
        <v>0.12249999999999998</v>
      </c>
      <c r="D184" s="2">
        <v>1</v>
      </c>
      <c r="E184" s="2">
        <f t="shared" si="14"/>
        <v>0.12249999999999998</v>
      </c>
      <c r="F184" s="2">
        <f t="shared" si="13"/>
        <v>0.16333333333333327</v>
      </c>
    </row>
    <row r="185" spans="1:11">
      <c r="B185" s="2" t="s">
        <v>294</v>
      </c>
      <c r="C185" s="2">
        <f>2*C180*E180</f>
        <v>1.4999999999999999E-2</v>
      </c>
      <c r="D185" s="2">
        <v>1</v>
      </c>
      <c r="E185" s="2">
        <f t="shared" si="14"/>
        <v>1.4999999999999999E-2</v>
      </c>
      <c r="F185" s="2">
        <f t="shared" si="13"/>
        <v>1.9999999999999993E-2</v>
      </c>
    </row>
    <row r="186" spans="1:11">
      <c r="B186" s="2" t="s">
        <v>295</v>
      </c>
      <c r="C186" s="2">
        <f>2*C180*F180+2*D180*E180</f>
        <v>0.17</v>
      </c>
      <c r="D186" s="2">
        <v>1</v>
      </c>
      <c r="E186" s="2">
        <f t="shared" si="14"/>
        <v>0.17</v>
      </c>
      <c r="F186" s="2">
        <f t="shared" si="13"/>
        <v>0.22666666666666663</v>
      </c>
    </row>
    <row r="187" spans="1:11">
      <c r="B187" s="2" t="s">
        <v>296</v>
      </c>
      <c r="C187" s="2">
        <f>2*D180*F180</f>
        <v>0.315</v>
      </c>
      <c r="D187" s="2">
        <v>1</v>
      </c>
      <c r="E187" s="2">
        <f t="shared" si="14"/>
        <v>0.315</v>
      </c>
      <c r="F187" s="2">
        <f t="shared" si="13"/>
        <v>0.41999999999999987</v>
      </c>
    </row>
    <row r="188" spans="1:11">
      <c r="B188" s="2" t="s">
        <v>297</v>
      </c>
      <c r="C188" s="2">
        <f>E180^2</f>
        <v>2.5000000000000005E-3</v>
      </c>
      <c r="D188" s="2">
        <v>0</v>
      </c>
      <c r="E188" s="2">
        <f t="shared" si="14"/>
        <v>0</v>
      </c>
      <c r="F188" s="2">
        <f t="shared" si="13"/>
        <v>0</v>
      </c>
    </row>
    <row r="189" spans="1:11">
      <c r="B189" s="2" t="s">
        <v>316</v>
      </c>
      <c r="C189" s="2">
        <f>2*E180*F180</f>
        <v>4.5000000000000005E-2</v>
      </c>
      <c r="D189" s="2">
        <v>0</v>
      </c>
      <c r="E189" s="2">
        <f t="shared" si="14"/>
        <v>0</v>
      </c>
      <c r="F189" s="2">
        <f t="shared" si="13"/>
        <v>0</v>
      </c>
    </row>
    <row r="190" spans="1:11">
      <c r="B190" s="2" t="s">
        <v>317</v>
      </c>
      <c r="C190" s="2">
        <f>F180^2</f>
        <v>0.20250000000000001</v>
      </c>
      <c r="D190" s="2">
        <v>0</v>
      </c>
      <c r="E190" s="2">
        <f t="shared" si="14"/>
        <v>0</v>
      </c>
      <c r="F190" s="2">
        <f t="shared" si="13"/>
        <v>0</v>
      </c>
    </row>
    <row r="191" spans="1:11" ht="14.4">
      <c r="B191" s="6" t="s">
        <v>1513</v>
      </c>
      <c r="C191" s="2">
        <f>SUM(C182:C190)</f>
        <v>1</v>
      </c>
      <c r="E191" s="2">
        <f>SUM(E182:E190)</f>
        <v>0.75</v>
      </c>
      <c r="F191" s="2">
        <v>1</v>
      </c>
    </row>
    <row r="193" spans="1:8" ht="14.4">
      <c r="A193" s="1" t="s">
        <v>318</v>
      </c>
      <c r="B193" s="2" t="s">
        <v>1518</v>
      </c>
      <c r="C193" s="2" t="s">
        <v>2</v>
      </c>
      <c r="D193" s="2" t="s">
        <v>3</v>
      </c>
      <c r="E193" s="2" t="s">
        <v>4</v>
      </c>
    </row>
    <row r="194" spans="1:8" ht="14.4">
      <c r="B194" s="2" t="s">
        <v>319</v>
      </c>
      <c r="C194" s="2">
        <v>50</v>
      </c>
      <c r="D194" s="2">
        <v>100</v>
      </c>
      <c r="E194" s="2">
        <v>50</v>
      </c>
    </row>
    <row r="195" spans="1:8" ht="14.4">
      <c r="B195" s="2" t="s">
        <v>320</v>
      </c>
      <c r="C195" s="2">
        <v>200</v>
      </c>
      <c r="D195" s="2">
        <v>1000</v>
      </c>
      <c r="E195" s="2">
        <v>500</v>
      </c>
    </row>
    <row r="196" spans="1:8" ht="14.4">
      <c r="B196" s="2" t="s">
        <v>321</v>
      </c>
      <c r="C196" s="2">
        <f>C195/C194</f>
        <v>4</v>
      </c>
      <c r="D196" s="2">
        <f t="shared" ref="D196:E196" si="15">D195/D194</f>
        <v>10</v>
      </c>
      <c r="E196" s="2">
        <f t="shared" si="15"/>
        <v>10</v>
      </c>
    </row>
    <row r="197" spans="1:8" ht="14.4">
      <c r="B197" s="9" t="s">
        <v>322</v>
      </c>
      <c r="C197" s="2">
        <f>C196/D196</f>
        <v>0.4</v>
      </c>
      <c r="D197" s="2">
        <v>1</v>
      </c>
      <c r="E197" s="2">
        <v>1</v>
      </c>
    </row>
    <row r="198" spans="1:8" ht="14.4">
      <c r="B198" s="2" t="s">
        <v>323</v>
      </c>
      <c r="C198" s="2">
        <f>1-C197</f>
        <v>0.6</v>
      </c>
      <c r="D198" s="2">
        <f t="shared" ref="D198:E198" si="16">1-D197</f>
        <v>0</v>
      </c>
      <c r="E198" s="2">
        <f t="shared" si="16"/>
        <v>0</v>
      </c>
    </row>
    <row r="200" spans="1:8" ht="14.4">
      <c r="B200" s="2" t="s">
        <v>1518</v>
      </c>
      <c r="C200" s="2" t="s">
        <v>2</v>
      </c>
      <c r="D200" s="2" t="s">
        <v>3</v>
      </c>
      <c r="E200" s="2" t="s">
        <v>4</v>
      </c>
      <c r="F200" s="2" t="s">
        <v>1519</v>
      </c>
    </row>
    <row r="201" spans="1:8" ht="14.4">
      <c r="B201" s="2" t="s">
        <v>1514</v>
      </c>
      <c r="C201" s="2">
        <v>0.25</v>
      </c>
      <c r="D201" s="2">
        <v>0.5</v>
      </c>
      <c r="E201" s="2">
        <v>0.25</v>
      </c>
      <c r="F201" s="2">
        <v>1</v>
      </c>
    </row>
    <row r="202" spans="1:8" ht="14.4">
      <c r="B202" s="2" t="s">
        <v>1516</v>
      </c>
      <c r="C202" s="2">
        <f>C201*(1-C198)</f>
        <v>0.1</v>
      </c>
      <c r="D202" s="2">
        <f t="shared" ref="D202:E202" si="17">D201*(1-D198)</f>
        <v>0.5</v>
      </c>
      <c r="E202" s="2">
        <f t="shared" si="17"/>
        <v>0.25</v>
      </c>
      <c r="F202" s="2">
        <f>SUM(C202:E202)</f>
        <v>0.85</v>
      </c>
    </row>
    <row r="203" spans="1:8" ht="14.4">
      <c r="B203" s="2" t="s">
        <v>1517</v>
      </c>
      <c r="C203" s="2">
        <f>C202/F202</f>
        <v>0.11764705882352942</v>
      </c>
      <c r="D203" s="2">
        <f>D202/F202</f>
        <v>0.58823529411764708</v>
      </c>
      <c r="E203" s="2">
        <f>E202/F202</f>
        <v>0.29411764705882354</v>
      </c>
      <c r="F203" s="2">
        <v>1</v>
      </c>
      <c r="H203" s="2" t="s">
        <v>1515</v>
      </c>
    </row>
    <row r="204" spans="1:8" ht="14.4">
      <c r="B204" s="2" t="s">
        <v>324</v>
      </c>
      <c r="C204" s="2">
        <f>C203+D203/2</f>
        <v>0.41176470588235298</v>
      </c>
    </row>
    <row r="206" spans="1:8" ht="14.4">
      <c r="A206" s="1" t="s">
        <v>325</v>
      </c>
      <c r="B206" s="2" t="s">
        <v>326</v>
      </c>
      <c r="C206" s="2" t="s">
        <v>327</v>
      </c>
      <c r="D206" s="2" t="s">
        <v>328</v>
      </c>
      <c r="E206" s="2" t="s">
        <v>329</v>
      </c>
      <c r="G206" s="2" t="s">
        <v>1523</v>
      </c>
      <c r="H206" s="2" t="s">
        <v>329</v>
      </c>
    </row>
    <row r="207" spans="1:8" ht="14.4">
      <c r="B207" s="2" t="s">
        <v>330</v>
      </c>
      <c r="C207" s="2" t="s">
        <v>331</v>
      </c>
      <c r="D207" s="2" t="s">
        <v>332</v>
      </c>
      <c r="E207" s="2">
        <v>0.1</v>
      </c>
      <c r="F207" s="9" t="s">
        <v>800</v>
      </c>
      <c r="G207" s="2" t="s">
        <v>330</v>
      </c>
      <c r="H207" s="2">
        <f>SUM(E207:E212)</f>
        <v>0.60200000000000009</v>
      </c>
    </row>
    <row r="208" spans="1:8">
      <c r="B208" s="2" t="s">
        <v>330</v>
      </c>
      <c r="C208" s="2" t="s">
        <v>331</v>
      </c>
      <c r="D208" s="2" t="s">
        <v>333</v>
      </c>
      <c r="E208" s="2">
        <v>0.05</v>
      </c>
      <c r="G208" s="2" t="s">
        <v>334</v>
      </c>
      <c r="H208" s="2">
        <f>1-H207</f>
        <v>0.39799999999999991</v>
      </c>
    </row>
    <row r="209" spans="2:8" ht="14.4">
      <c r="B209" s="2" t="s">
        <v>330</v>
      </c>
      <c r="C209" s="2" t="s">
        <v>335</v>
      </c>
      <c r="D209" s="2" t="s">
        <v>332</v>
      </c>
      <c r="E209" s="2">
        <v>0.15</v>
      </c>
      <c r="G209" s="2" t="s">
        <v>1521</v>
      </c>
      <c r="H209" s="2">
        <f>2*H207*H208</f>
        <v>0.47919199999999995</v>
      </c>
    </row>
    <row r="210" spans="2:8" ht="14.4">
      <c r="B210" s="2" t="s">
        <v>330</v>
      </c>
      <c r="C210" s="2" t="s">
        <v>335</v>
      </c>
      <c r="D210" s="2" t="s">
        <v>333</v>
      </c>
      <c r="E210" s="2">
        <v>2E-3</v>
      </c>
      <c r="F210" s="9" t="s">
        <v>801</v>
      </c>
      <c r="G210" s="2" t="s">
        <v>331</v>
      </c>
      <c r="H210" s="2">
        <f>SUM(E207:E208,E213:E214)</f>
        <v>0.24200000000000002</v>
      </c>
    </row>
    <row r="211" spans="2:8">
      <c r="B211" s="2" t="s">
        <v>330</v>
      </c>
      <c r="C211" s="2" t="s">
        <v>336</v>
      </c>
      <c r="D211" s="2" t="s">
        <v>332</v>
      </c>
      <c r="E211" s="2">
        <v>0.25</v>
      </c>
      <c r="G211" s="2" t="s">
        <v>335</v>
      </c>
      <c r="H211" s="2">
        <f>SUM(E209:E210,E215:E216)</f>
        <v>0.33199999999999996</v>
      </c>
    </row>
    <row r="212" spans="2:8">
      <c r="B212" s="2" t="s">
        <v>330</v>
      </c>
      <c r="C212" s="2" t="s">
        <v>336</v>
      </c>
      <c r="D212" s="2" t="s">
        <v>333</v>
      </c>
      <c r="E212" s="2">
        <v>0.05</v>
      </c>
      <c r="G212" s="2" t="s">
        <v>336</v>
      </c>
      <c r="H212" s="2">
        <f>1-H210-H211</f>
        <v>0.42600000000000005</v>
      </c>
    </row>
    <row r="213" spans="2:8" ht="14.4">
      <c r="B213" s="2" t="s">
        <v>334</v>
      </c>
      <c r="C213" s="2" t="s">
        <v>331</v>
      </c>
      <c r="D213" s="2" t="s">
        <v>332</v>
      </c>
      <c r="E213" s="2">
        <v>0.09</v>
      </c>
      <c r="G213" s="2" t="s">
        <v>1521</v>
      </c>
      <c r="H213" s="2">
        <f>2*H210*H211+2*H210*H212+2*H211*H212</f>
        <v>0.64973600000000009</v>
      </c>
    </row>
    <row r="214" spans="2:8" ht="14.4">
      <c r="B214" s="2" t="s">
        <v>334</v>
      </c>
      <c r="C214" s="2" t="s">
        <v>331</v>
      </c>
      <c r="D214" s="2" t="s">
        <v>333</v>
      </c>
      <c r="E214" s="2">
        <v>2E-3</v>
      </c>
      <c r="F214" s="9" t="s">
        <v>1520</v>
      </c>
      <c r="G214" s="2" t="s">
        <v>332</v>
      </c>
      <c r="H214" s="2">
        <f>SUM(E207,E209,E211,E213,E215,E217)</f>
        <v>0.86</v>
      </c>
    </row>
    <row r="215" spans="2:8">
      <c r="B215" s="2" t="s">
        <v>334</v>
      </c>
      <c r="C215" s="2" t="s">
        <v>335</v>
      </c>
      <c r="D215" s="2" t="s">
        <v>332</v>
      </c>
      <c r="E215" s="2">
        <v>0.15</v>
      </c>
      <c r="G215" s="2" t="s">
        <v>333</v>
      </c>
      <c r="H215" s="2">
        <f>1-H214</f>
        <v>0.14000000000000001</v>
      </c>
    </row>
    <row r="216" spans="2:8" ht="14.4">
      <c r="B216" s="2" t="s">
        <v>334</v>
      </c>
      <c r="C216" s="2" t="s">
        <v>335</v>
      </c>
      <c r="D216" s="2" t="s">
        <v>333</v>
      </c>
      <c r="E216" s="2">
        <v>0.03</v>
      </c>
      <c r="G216" s="2" t="s">
        <v>1521</v>
      </c>
      <c r="H216" s="2">
        <f>2*H214*H215</f>
        <v>0.24080000000000001</v>
      </c>
    </row>
    <row r="217" spans="2:8" ht="14.4">
      <c r="B217" s="2" t="s">
        <v>334</v>
      </c>
      <c r="C217" s="2" t="s">
        <v>336</v>
      </c>
      <c r="D217" s="2" t="s">
        <v>332</v>
      </c>
      <c r="E217" s="2">
        <v>0.12</v>
      </c>
      <c r="F217" s="2" t="s">
        <v>1522</v>
      </c>
      <c r="H217" s="2">
        <f>(H209+H213+H216)/3</f>
        <v>0.45657600000000009</v>
      </c>
    </row>
    <row r="218" spans="2:8">
      <c r="B218" s="2" t="s">
        <v>334</v>
      </c>
      <c r="C218" s="2" t="s">
        <v>336</v>
      </c>
      <c r="D218" s="2" t="s">
        <v>333</v>
      </c>
      <c r="E218" s="2">
        <f>1-SUM(E207:E217)</f>
        <v>5.9999999999998943E-3</v>
      </c>
    </row>
    <row r="220" spans="2:8" ht="14.4">
      <c r="B220" s="2" t="s">
        <v>326</v>
      </c>
      <c r="C220" s="2" t="s">
        <v>327</v>
      </c>
      <c r="D220" s="2" t="s">
        <v>328</v>
      </c>
      <c r="E220" s="2" t="s">
        <v>329</v>
      </c>
      <c r="F220" s="2" t="s">
        <v>1524</v>
      </c>
      <c r="G220" s="2" t="s">
        <v>1523</v>
      </c>
      <c r="H220" s="9" t="s">
        <v>1525</v>
      </c>
    </row>
    <row r="221" spans="2:8" ht="14.4">
      <c r="B221" s="2" t="s">
        <v>330</v>
      </c>
      <c r="C221" s="2" t="s">
        <v>331</v>
      </c>
      <c r="D221" s="2" t="s">
        <v>332</v>
      </c>
      <c r="E221" s="2">
        <f>H221*H224*H228</f>
        <v>9.6000000000000002E-2</v>
      </c>
      <c r="F221" s="9" t="s">
        <v>800</v>
      </c>
      <c r="G221" s="2" t="s">
        <v>330</v>
      </c>
      <c r="H221" s="2">
        <v>0.2</v>
      </c>
    </row>
    <row r="222" spans="2:8">
      <c r="B222" s="2" t="s">
        <v>330</v>
      </c>
      <c r="C222" s="2" t="s">
        <v>331</v>
      </c>
      <c r="D222" s="2" t="s">
        <v>333</v>
      </c>
      <c r="E222" s="2">
        <f>H221*H224*H229</f>
        <v>4.0000000000000036E-3</v>
      </c>
      <c r="G222" s="2" t="s">
        <v>334</v>
      </c>
      <c r="H222" s="2">
        <f>1-H221</f>
        <v>0.8</v>
      </c>
    </row>
    <row r="223" spans="2:8" ht="14.4">
      <c r="B223" s="2" t="s">
        <v>330</v>
      </c>
      <c r="C223" s="2" t="s">
        <v>335</v>
      </c>
      <c r="D223" s="2" t="s">
        <v>332</v>
      </c>
      <c r="E223" s="2">
        <f>H221*H225*H228</f>
        <v>7.6800000000000007E-2</v>
      </c>
      <c r="G223" s="2" t="s">
        <v>1521</v>
      </c>
      <c r="H223" s="2">
        <f>2*H221*H222</f>
        <v>0.32000000000000006</v>
      </c>
    </row>
    <row r="224" spans="2:8" ht="14.4">
      <c r="B224" s="2" t="s">
        <v>330</v>
      </c>
      <c r="C224" s="2" t="s">
        <v>335</v>
      </c>
      <c r="D224" s="2" t="s">
        <v>333</v>
      </c>
      <c r="E224" s="2">
        <f>H221*H225*H229</f>
        <v>3.2000000000000036E-3</v>
      </c>
      <c r="F224" s="9" t="s">
        <v>801</v>
      </c>
      <c r="G224" s="2" t="s">
        <v>331</v>
      </c>
      <c r="H224" s="2">
        <v>0.5</v>
      </c>
    </row>
    <row r="225" spans="1:11">
      <c r="B225" s="2" t="s">
        <v>330</v>
      </c>
      <c r="C225" s="2" t="s">
        <v>336</v>
      </c>
      <c r="D225" s="2" t="s">
        <v>332</v>
      </c>
      <c r="E225" s="2">
        <f>H221*H226*H228</f>
        <v>1.9199999999999995E-2</v>
      </c>
      <c r="G225" s="2" t="s">
        <v>335</v>
      </c>
      <c r="H225" s="2">
        <v>0.4</v>
      </c>
    </row>
    <row r="226" spans="1:11">
      <c r="B226" s="2" t="s">
        <v>330</v>
      </c>
      <c r="C226" s="2" t="s">
        <v>336</v>
      </c>
      <c r="D226" s="2" t="s">
        <v>333</v>
      </c>
      <c r="E226" s="2">
        <f>H221*H226*H229</f>
        <v>8.0000000000000058E-4</v>
      </c>
      <c r="G226" s="2" t="s">
        <v>336</v>
      </c>
      <c r="H226" s="2">
        <f>1-H224-H225</f>
        <v>9.9999999999999978E-2</v>
      </c>
    </row>
    <row r="227" spans="1:11" ht="14.4">
      <c r="B227" s="2" t="s">
        <v>334</v>
      </c>
      <c r="C227" s="2" t="s">
        <v>331</v>
      </c>
      <c r="D227" s="2" t="s">
        <v>332</v>
      </c>
      <c r="E227" s="2">
        <f>H222*H224*H228</f>
        <v>0.38400000000000001</v>
      </c>
      <c r="G227" s="2" t="s">
        <v>1521</v>
      </c>
      <c r="H227" s="2">
        <f>2*H224*H225+2*H224*H226+2*H225*H226</f>
        <v>0.57999999999999996</v>
      </c>
    </row>
    <row r="228" spans="1:11" ht="14.4">
      <c r="B228" s="2" t="s">
        <v>334</v>
      </c>
      <c r="C228" s="2" t="s">
        <v>331</v>
      </c>
      <c r="D228" s="2" t="s">
        <v>333</v>
      </c>
      <c r="E228" s="2">
        <f>H222*H224*H229</f>
        <v>1.6000000000000014E-2</v>
      </c>
      <c r="F228" s="9" t="s">
        <v>1520</v>
      </c>
      <c r="G228" s="2" t="s">
        <v>332</v>
      </c>
      <c r="H228" s="2">
        <v>0.96</v>
      </c>
      <c r="J228" s="2" t="s">
        <v>100</v>
      </c>
    </row>
    <row r="229" spans="1:11">
      <c r="B229" s="2" t="s">
        <v>334</v>
      </c>
      <c r="C229" s="2" t="s">
        <v>335</v>
      </c>
      <c r="D229" s="2" t="s">
        <v>332</v>
      </c>
      <c r="E229" s="2">
        <f>H222*H225*H228</f>
        <v>0.30720000000000003</v>
      </c>
      <c r="G229" s="2" t="s">
        <v>333</v>
      </c>
      <c r="H229" s="2">
        <f>1-H228</f>
        <v>4.0000000000000036E-2</v>
      </c>
    </row>
    <row r="230" spans="1:11" ht="14.4">
      <c r="B230" s="2" t="s">
        <v>334</v>
      </c>
      <c r="C230" s="2" t="s">
        <v>335</v>
      </c>
      <c r="D230" s="2" t="s">
        <v>333</v>
      </c>
      <c r="E230" s="2">
        <f>H222*H225*H229</f>
        <v>1.2800000000000014E-2</v>
      </c>
      <c r="G230" s="2" t="s">
        <v>1521</v>
      </c>
      <c r="H230" s="2">
        <f>2*H228*H229</f>
        <v>7.6800000000000063E-2</v>
      </c>
    </row>
    <row r="231" spans="1:11" ht="14.4">
      <c r="B231" s="2" t="s">
        <v>334</v>
      </c>
      <c r="C231" s="2" t="s">
        <v>336</v>
      </c>
      <c r="D231" s="2" t="s">
        <v>332</v>
      </c>
      <c r="E231" s="2">
        <f>H222*H226*H228</f>
        <v>7.6799999999999979E-2</v>
      </c>
      <c r="F231" s="2" t="s">
        <v>1522</v>
      </c>
      <c r="H231" s="2">
        <f>(H223+H227+H230)/3</f>
        <v>0.32560000000000006</v>
      </c>
      <c r="K231" s="2" t="s">
        <v>1515</v>
      </c>
    </row>
    <row r="232" spans="1:11">
      <c r="B232" s="2" t="s">
        <v>334</v>
      </c>
      <c r="C232" s="2" t="s">
        <v>336</v>
      </c>
      <c r="D232" s="2" t="s">
        <v>333</v>
      </c>
      <c r="E232" s="2">
        <f>H222*H226*H229</f>
        <v>3.2000000000000023E-3</v>
      </c>
    </row>
    <row r="234" spans="1:11" ht="14.4">
      <c r="A234" s="1" t="s">
        <v>337</v>
      </c>
      <c r="C234" s="2" t="s">
        <v>2</v>
      </c>
      <c r="D234" s="2" t="s">
        <v>3</v>
      </c>
      <c r="E234" s="2" t="s">
        <v>4</v>
      </c>
    </row>
    <row r="235" spans="1:11">
      <c r="C235" s="2">
        <v>1</v>
      </c>
      <c r="D235" s="2">
        <v>0</v>
      </c>
      <c r="E235" s="2">
        <v>0.5</v>
      </c>
    </row>
    <row r="236" spans="1:11" ht="16.8">
      <c r="B236" s="2" t="s">
        <v>338</v>
      </c>
      <c r="C236" s="2" t="s">
        <v>339</v>
      </c>
      <c r="D236" s="2" t="s">
        <v>263</v>
      </c>
      <c r="E236" s="2" t="s">
        <v>280</v>
      </c>
    </row>
    <row r="237" spans="1:11" ht="16.8">
      <c r="B237" s="2" t="s">
        <v>288</v>
      </c>
      <c r="C237" s="2" t="s">
        <v>339</v>
      </c>
      <c r="D237" s="2">
        <v>0</v>
      </c>
      <c r="E237" s="2" t="s">
        <v>340</v>
      </c>
      <c r="F237" s="2" t="s">
        <v>341</v>
      </c>
    </row>
    <row r="238" spans="1:11" ht="16.8">
      <c r="B238" s="2" t="s">
        <v>342</v>
      </c>
      <c r="C238" s="2" t="s">
        <v>343</v>
      </c>
    </row>
    <row r="239" spans="1:11" ht="16.8">
      <c r="B239" s="2" t="s">
        <v>344</v>
      </c>
      <c r="C239" s="8" t="s">
        <v>1526</v>
      </c>
    </row>
    <row r="240" spans="1:11" ht="14.4">
      <c r="B240" s="2" t="s">
        <v>345</v>
      </c>
      <c r="C240" s="2" t="s">
        <v>346</v>
      </c>
      <c r="D240" s="2" t="s">
        <v>347</v>
      </c>
      <c r="E240" s="2" t="s">
        <v>348</v>
      </c>
    </row>
    <row r="241" spans="2:9" ht="14.4">
      <c r="C241" s="2" t="s">
        <v>349</v>
      </c>
      <c r="D241" s="2" t="s">
        <v>350</v>
      </c>
      <c r="E241" s="2" t="s">
        <v>350</v>
      </c>
    </row>
    <row r="243" spans="2:9" ht="14.4">
      <c r="B243" s="6" t="s">
        <v>1527</v>
      </c>
      <c r="C243" s="2" t="s">
        <v>1528</v>
      </c>
      <c r="D243" s="2" t="s">
        <v>1528</v>
      </c>
      <c r="E243" s="2" t="s">
        <v>1528</v>
      </c>
      <c r="F243" s="2" t="s">
        <v>1528</v>
      </c>
      <c r="G243" s="2" t="s">
        <v>1528</v>
      </c>
      <c r="H243" s="2" t="s">
        <v>1528</v>
      </c>
    </row>
    <row r="244" spans="2:9">
      <c r="B244" s="2">
        <v>0</v>
      </c>
      <c r="C244" s="2">
        <v>0</v>
      </c>
      <c r="D244" s="2">
        <v>0.1</v>
      </c>
      <c r="E244" s="2">
        <v>0.33</v>
      </c>
      <c r="F244" s="2">
        <f>1/3</f>
        <v>0.33333333333333331</v>
      </c>
      <c r="G244" s="2">
        <v>0.34</v>
      </c>
      <c r="H244" s="2">
        <v>0.9</v>
      </c>
      <c r="I244" s="2">
        <v>1</v>
      </c>
    </row>
    <row r="245" spans="2:9">
      <c r="B245" s="2">
        <f>B244+1</f>
        <v>1</v>
      </c>
      <c r="C245" s="2">
        <f>C244^2/(C244^2+0.5*(1-C244)^2)</f>
        <v>0</v>
      </c>
      <c r="D245" s="2">
        <f t="shared" ref="D245" si="18">D244^2/(D244^2+0.5*(1-D244)^2)</f>
        <v>2.4096385542168676E-2</v>
      </c>
      <c r="E245" s="2">
        <f t="shared" ref="E245" si="19">E244^2/(E244^2+0.5*(1-E244)^2)</f>
        <v>0.32668366581670921</v>
      </c>
      <c r="F245" s="2">
        <f t="shared" ref="F245" si="20">F244^2/(F244^2+0.5*(1-F244)^2)</f>
        <v>0.33333333333333326</v>
      </c>
      <c r="G245" s="2">
        <f t="shared" ref="G245" si="21">G244^2/(G244^2+0.5*(1-G244)^2)</f>
        <v>0.34673065386922625</v>
      </c>
      <c r="H245" s="2">
        <f t="shared" ref="H245" si="22">H244^2/(H244^2+0.5*(1-H244)^2)</f>
        <v>0.99386503067484666</v>
      </c>
      <c r="I245" s="2">
        <f t="shared" ref="I245" si="23">I244^2/(I244^2+0.5*(1-I244)^2)</f>
        <v>1</v>
      </c>
    </row>
    <row r="246" spans="2:9">
      <c r="B246" s="2">
        <f t="shared" ref="B246:B264" si="24">B245+1</f>
        <v>2</v>
      </c>
      <c r="C246" s="2">
        <f t="shared" ref="C246:C264" si="25">C245^2/(C245^2+0.5*(1-C245)^2)</f>
        <v>0</v>
      </c>
      <c r="D246" s="2">
        <f t="shared" ref="D246:D264" si="26">D245^2/(D245^2+0.5*(1-D245)^2)</f>
        <v>1.2178413761607552E-3</v>
      </c>
      <c r="E246" s="2">
        <f t="shared" ref="E246:E264" si="27">E245^2/(E245^2+0.5*(1-E245)^2)</f>
        <v>0.32010295801516742</v>
      </c>
      <c r="F246" s="2">
        <f t="shared" ref="F246:F264" si="28">F245^2/(F245^2+0.5*(1-F245)^2)</f>
        <v>0.3333333333333332</v>
      </c>
      <c r="G246" s="2">
        <f t="shared" ref="G246:G264" si="29">G245^2/(G245^2+0.5*(1-G245)^2)</f>
        <v>0.36037536493663486</v>
      </c>
      <c r="H246" s="2">
        <f t="shared" ref="H246:H264" si="30">H245^2/(H245^2+0.5*(1-H245)^2)</f>
        <v>0.99998094838918627</v>
      </c>
      <c r="I246" s="2">
        <f t="shared" ref="I246:I264" si="31">I245^2/(I245^2+0.5*(1-I245)^2)</f>
        <v>1</v>
      </c>
    </row>
    <row r="247" spans="2:9">
      <c r="B247" s="2">
        <f t="shared" si="24"/>
        <v>3</v>
      </c>
      <c r="C247" s="2">
        <f t="shared" si="25"/>
        <v>0</v>
      </c>
      <c r="D247" s="2">
        <f t="shared" si="26"/>
        <v>2.9735045182981925E-6</v>
      </c>
      <c r="E247" s="2">
        <f t="shared" si="27"/>
        <v>0.30715576682267604</v>
      </c>
      <c r="F247" s="2">
        <f t="shared" si="28"/>
        <v>0.33333333333333315</v>
      </c>
      <c r="G247" s="2">
        <f t="shared" si="29"/>
        <v>0.38833331412337652</v>
      </c>
      <c r="H247" s="2">
        <f t="shared" si="30"/>
        <v>0.99999999981851118</v>
      </c>
      <c r="I247" s="2">
        <f t="shared" si="31"/>
        <v>1</v>
      </c>
    </row>
    <row r="248" spans="2:9">
      <c r="B248" s="2">
        <f t="shared" si="24"/>
        <v>4</v>
      </c>
      <c r="C248" s="2">
        <f t="shared" si="25"/>
        <v>0</v>
      </c>
      <c r="D248" s="2">
        <f t="shared" si="26"/>
        <v>1.7683563404521837E-11</v>
      </c>
      <c r="E248" s="2">
        <f t="shared" si="27"/>
        <v>0.28216388862485881</v>
      </c>
      <c r="F248" s="2">
        <f t="shared" si="28"/>
        <v>0.33333333333333293</v>
      </c>
      <c r="G248" s="2">
        <f t="shared" si="29"/>
        <v>0.44633259043103651</v>
      </c>
      <c r="H248" s="2">
        <f t="shared" si="30"/>
        <v>1</v>
      </c>
      <c r="I248" s="2">
        <f t="shared" si="31"/>
        <v>1</v>
      </c>
    </row>
    <row r="249" spans="2:9">
      <c r="B249" s="2">
        <f t="shared" si="24"/>
        <v>5</v>
      </c>
      <c r="C249" s="2">
        <f t="shared" si="25"/>
        <v>0</v>
      </c>
      <c r="D249" s="2">
        <f t="shared" si="26"/>
        <v>6.2541682938560704E-22</v>
      </c>
      <c r="E249" s="2">
        <f t="shared" si="27"/>
        <v>0.23606793230559053</v>
      </c>
      <c r="F249" s="2">
        <f t="shared" si="28"/>
        <v>0.33333333333333254</v>
      </c>
      <c r="G249" s="2">
        <f t="shared" si="29"/>
        <v>0.56516415586268587</v>
      </c>
      <c r="H249" s="2">
        <f t="shared" si="30"/>
        <v>1</v>
      </c>
      <c r="I249" s="2">
        <f t="shared" si="31"/>
        <v>1</v>
      </c>
    </row>
    <row r="250" spans="2:9">
      <c r="B250" s="2">
        <f t="shared" si="24"/>
        <v>6</v>
      </c>
      <c r="C250" s="2">
        <f t="shared" si="25"/>
        <v>0</v>
      </c>
      <c r="D250" s="2">
        <f t="shared" si="26"/>
        <v>7.8229242095749107E-43</v>
      </c>
      <c r="E250" s="2">
        <f t="shared" si="27"/>
        <v>0.16035738910636424</v>
      </c>
      <c r="F250" s="2">
        <f t="shared" si="28"/>
        <v>0.33333333333333182</v>
      </c>
      <c r="G250" s="2">
        <f t="shared" si="29"/>
        <v>0.77161315692882992</v>
      </c>
      <c r="H250" s="2">
        <f t="shared" si="30"/>
        <v>1</v>
      </c>
      <c r="I250" s="2">
        <f t="shared" si="31"/>
        <v>1</v>
      </c>
    </row>
    <row r="251" spans="2:9">
      <c r="B251" s="2">
        <f t="shared" si="24"/>
        <v>7</v>
      </c>
      <c r="C251" s="2">
        <f t="shared" si="25"/>
        <v>0</v>
      </c>
      <c r="D251" s="2">
        <f t="shared" si="26"/>
        <v>1.2239628637750649E-84</v>
      </c>
      <c r="E251" s="2">
        <f t="shared" si="27"/>
        <v>6.7989203190338021E-2</v>
      </c>
      <c r="F251" s="2">
        <f t="shared" si="28"/>
        <v>0.33333333333333026</v>
      </c>
      <c r="G251" s="2">
        <f t="shared" si="29"/>
        <v>0.95803434581206293</v>
      </c>
      <c r="H251" s="2">
        <f t="shared" si="30"/>
        <v>1</v>
      </c>
      <c r="I251" s="2">
        <f t="shared" si="31"/>
        <v>1</v>
      </c>
    </row>
    <row r="252" spans="2:9">
      <c r="B252" s="2">
        <f t="shared" si="24"/>
        <v>8</v>
      </c>
      <c r="C252" s="2">
        <f t="shared" si="25"/>
        <v>0</v>
      </c>
      <c r="D252" s="2">
        <f t="shared" si="26"/>
        <v>2.9961701838009161E-168</v>
      </c>
      <c r="E252" s="2">
        <f t="shared" si="27"/>
        <v>1.053101418506687E-2</v>
      </c>
      <c r="F252" s="2">
        <f t="shared" si="28"/>
        <v>0.33333333333332721</v>
      </c>
      <c r="G252" s="2">
        <f t="shared" si="29"/>
        <v>0.99904152810453639</v>
      </c>
      <c r="H252" s="2">
        <f t="shared" si="30"/>
        <v>1</v>
      </c>
      <c r="I252" s="2">
        <f t="shared" si="31"/>
        <v>1</v>
      </c>
    </row>
    <row r="253" spans="2:9">
      <c r="B253" s="2">
        <f t="shared" si="24"/>
        <v>9</v>
      </c>
      <c r="C253" s="2">
        <f t="shared" si="25"/>
        <v>0</v>
      </c>
      <c r="D253" s="2">
        <f t="shared" si="26"/>
        <v>0</v>
      </c>
      <c r="E253" s="2">
        <f t="shared" si="27"/>
        <v>2.2649970475219683E-4</v>
      </c>
      <c r="F253" s="2">
        <f t="shared" si="28"/>
        <v>0.33333333333332116</v>
      </c>
      <c r="G253" s="2">
        <f t="shared" si="29"/>
        <v>0.99999953978423917</v>
      </c>
      <c r="H253" s="2">
        <f t="shared" si="30"/>
        <v>1</v>
      </c>
      <c r="I253" s="2">
        <f t="shared" si="31"/>
        <v>1</v>
      </c>
    </row>
    <row r="254" spans="2:9">
      <c r="B254" s="2">
        <f t="shared" si="24"/>
        <v>10</v>
      </c>
      <c r="C254" s="2">
        <f t="shared" si="25"/>
        <v>0</v>
      </c>
      <c r="D254" s="2">
        <f t="shared" si="26"/>
        <v>0</v>
      </c>
      <c r="E254" s="2">
        <f t="shared" si="27"/>
        <v>1.0265071742144467E-7</v>
      </c>
      <c r="F254" s="2">
        <f t="shared" si="28"/>
        <v>0.33333333333330895</v>
      </c>
      <c r="G254" s="2">
        <f t="shared" si="29"/>
        <v>0.99999999999989408</v>
      </c>
      <c r="H254" s="2">
        <f t="shared" si="30"/>
        <v>1</v>
      </c>
      <c r="I254" s="2">
        <f t="shared" si="31"/>
        <v>1</v>
      </c>
    </row>
    <row r="255" spans="2:9">
      <c r="B255" s="2">
        <f t="shared" si="24"/>
        <v>11</v>
      </c>
      <c r="C255" s="2">
        <f t="shared" si="25"/>
        <v>0</v>
      </c>
      <c r="D255" s="2">
        <f t="shared" si="26"/>
        <v>0</v>
      </c>
      <c r="E255" s="2">
        <f t="shared" si="27"/>
        <v>2.1074343900866942E-14</v>
      </c>
      <c r="F255" s="2">
        <f t="shared" si="28"/>
        <v>0.33333333333328458</v>
      </c>
      <c r="G255" s="2">
        <f t="shared" si="29"/>
        <v>1</v>
      </c>
      <c r="H255" s="2">
        <f t="shared" si="30"/>
        <v>1</v>
      </c>
      <c r="I255" s="2">
        <f t="shared" si="31"/>
        <v>1</v>
      </c>
    </row>
    <row r="256" spans="2:9">
      <c r="B256" s="2">
        <f t="shared" si="24"/>
        <v>12</v>
      </c>
      <c r="C256" s="2">
        <f t="shared" si="25"/>
        <v>0</v>
      </c>
      <c r="D256" s="2">
        <f t="shared" si="26"/>
        <v>0</v>
      </c>
      <c r="E256" s="2">
        <f t="shared" si="27"/>
        <v>8.8825594170405277E-28</v>
      </c>
      <c r="F256" s="2">
        <f t="shared" si="28"/>
        <v>0.33333333333323589</v>
      </c>
      <c r="G256" s="2">
        <f t="shared" si="29"/>
        <v>1</v>
      </c>
      <c r="H256" s="2">
        <f t="shared" si="30"/>
        <v>1</v>
      </c>
      <c r="I256" s="2">
        <f t="shared" si="31"/>
        <v>1</v>
      </c>
    </row>
    <row r="257" spans="2:9">
      <c r="B257" s="2">
        <f t="shared" si="24"/>
        <v>13</v>
      </c>
      <c r="C257" s="2">
        <f t="shared" si="25"/>
        <v>0</v>
      </c>
      <c r="D257" s="2">
        <f t="shared" si="26"/>
        <v>0</v>
      </c>
      <c r="E257" s="2">
        <f t="shared" si="27"/>
        <v>1.5779972359451071E-54</v>
      </c>
      <c r="F257" s="2">
        <f t="shared" si="28"/>
        <v>0.33333333333313842</v>
      </c>
      <c r="G257" s="2">
        <f t="shared" si="29"/>
        <v>1</v>
      </c>
      <c r="H257" s="2">
        <f t="shared" si="30"/>
        <v>1</v>
      </c>
      <c r="I257" s="2">
        <f t="shared" si="31"/>
        <v>1</v>
      </c>
    </row>
    <row r="258" spans="2:9">
      <c r="B258" s="2">
        <f t="shared" si="24"/>
        <v>14</v>
      </c>
      <c r="C258" s="2">
        <f t="shared" si="25"/>
        <v>0</v>
      </c>
      <c r="D258" s="2">
        <f t="shared" si="26"/>
        <v>0</v>
      </c>
      <c r="E258" s="2">
        <f t="shared" si="27"/>
        <v>4.9801505533007956E-108</v>
      </c>
      <c r="F258" s="2">
        <f t="shared" si="28"/>
        <v>0.33333333333294352</v>
      </c>
      <c r="G258" s="2">
        <f t="shared" si="29"/>
        <v>1</v>
      </c>
      <c r="H258" s="2">
        <f t="shared" si="30"/>
        <v>1</v>
      </c>
      <c r="I258" s="2">
        <f t="shared" si="31"/>
        <v>1</v>
      </c>
    </row>
    <row r="259" spans="2:9">
      <c r="B259" s="2">
        <f t="shared" si="24"/>
        <v>15</v>
      </c>
      <c r="C259" s="2">
        <f t="shared" si="25"/>
        <v>0</v>
      </c>
      <c r="D259" s="2">
        <f t="shared" si="26"/>
        <v>0</v>
      </c>
      <c r="E259" s="2">
        <f t="shared" si="27"/>
        <v>4.9603799067084437E-215</v>
      </c>
      <c r="F259" s="2">
        <f t="shared" si="28"/>
        <v>0.33333333333255377</v>
      </c>
      <c r="G259" s="2">
        <f t="shared" si="29"/>
        <v>1</v>
      </c>
      <c r="H259" s="2">
        <f t="shared" si="30"/>
        <v>1</v>
      </c>
      <c r="I259" s="2">
        <f t="shared" si="31"/>
        <v>1</v>
      </c>
    </row>
    <row r="260" spans="2:9">
      <c r="B260" s="2">
        <f t="shared" si="24"/>
        <v>16</v>
      </c>
      <c r="C260" s="2">
        <f t="shared" si="25"/>
        <v>0</v>
      </c>
      <c r="D260" s="2">
        <f t="shared" si="26"/>
        <v>0</v>
      </c>
      <c r="E260" s="2">
        <f t="shared" si="27"/>
        <v>0</v>
      </c>
      <c r="F260" s="2">
        <f t="shared" si="28"/>
        <v>0.33333333333177417</v>
      </c>
      <c r="G260" s="2">
        <f t="shared" si="29"/>
        <v>1</v>
      </c>
      <c r="H260" s="2">
        <f t="shared" si="30"/>
        <v>1</v>
      </c>
      <c r="I260" s="2">
        <f t="shared" si="31"/>
        <v>1</v>
      </c>
    </row>
    <row r="261" spans="2:9">
      <c r="B261" s="2">
        <f t="shared" si="24"/>
        <v>17</v>
      </c>
      <c r="C261" s="2">
        <f t="shared" si="25"/>
        <v>0</v>
      </c>
      <c r="D261" s="2">
        <f t="shared" si="26"/>
        <v>0</v>
      </c>
      <c r="E261" s="2">
        <f t="shared" si="27"/>
        <v>0</v>
      </c>
      <c r="F261" s="2">
        <f t="shared" si="28"/>
        <v>0.33333333333021503</v>
      </c>
      <c r="G261" s="2">
        <f t="shared" si="29"/>
        <v>1</v>
      </c>
      <c r="H261" s="2">
        <f t="shared" si="30"/>
        <v>1</v>
      </c>
      <c r="I261" s="2">
        <f t="shared" si="31"/>
        <v>1</v>
      </c>
    </row>
    <row r="262" spans="2:9">
      <c r="B262" s="2">
        <f t="shared" si="24"/>
        <v>18</v>
      </c>
      <c r="C262" s="2">
        <f t="shared" si="25"/>
        <v>0</v>
      </c>
      <c r="D262" s="2">
        <f t="shared" si="26"/>
        <v>0</v>
      </c>
      <c r="E262" s="2">
        <f t="shared" si="27"/>
        <v>0</v>
      </c>
      <c r="F262" s="2">
        <f t="shared" si="28"/>
        <v>0.3333333333270968</v>
      </c>
      <c r="G262" s="2">
        <f t="shared" si="29"/>
        <v>1</v>
      </c>
      <c r="H262" s="2">
        <f t="shared" si="30"/>
        <v>1</v>
      </c>
      <c r="I262" s="2">
        <f t="shared" si="31"/>
        <v>1</v>
      </c>
    </row>
    <row r="263" spans="2:9">
      <c r="B263" s="2">
        <f t="shared" si="24"/>
        <v>19</v>
      </c>
      <c r="C263" s="2">
        <f t="shared" si="25"/>
        <v>0</v>
      </c>
      <c r="D263" s="2">
        <f t="shared" si="26"/>
        <v>0</v>
      </c>
      <c r="E263" s="2">
        <f t="shared" si="27"/>
        <v>0</v>
      </c>
      <c r="F263" s="2">
        <f t="shared" si="28"/>
        <v>0.33333333332086024</v>
      </c>
      <c r="G263" s="2">
        <f t="shared" si="29"/>
        <v>1</v>
      </c>
      <c r="H263" s="2">
        <f t="shared" si="30"/>
        <v>1</v>
      </c>
      <c r="I263" s="2">
        <f t="shared" si="31"/>
        <v>1</v>
      </c>
    </row>
    <row r="264" spans="2:9">
      <c r="B264" s="2">
        <f t="shared" si="24"/>
        <v>20</v>
      </c>
      <c r="C264" s="2">
        <f t="shared" si="25"/>
        <v>0</v>
      </c>
      <c r="D264" s="2">
        <f t="shared" si="26"/>
        <v>0</v>
      </c>
      <c r="E264" s="2">
        <f t="shared" si="27"/>
        <v>0</v>
      </c>
      <c r="F264" s="2">
        <f t="shared" si="28"/>
        <v>0.33333333330838716</v>
      </c>
      <c r="G264" s="2">
        <f t="shared" si="29"/>
        <v>1</v>
      </c>
      <c r="H264" s="2">
        <f t="shared" si="30"/>
        <v>1</v>
      </c>
      <c r="I264" s="2">
        <f t="shared" si="31"/>
        <v>1</v>
      </c>
    </row>
  </sheetData>
  <phoneticPr fontId="7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2"/>
  <sheetViews>
    <sheetView topLeftCell="A35" workbookViewId="0">
      <selection activeCell="E47" sqref="E47"/>
    </sheetView>
  </sheetViews>
  <sheetFormatPr defaultRowHeight="14.4"/>
  <cols>
    <col min="1" max="1" width="9.77734375" customWidth="1"/>
    <col min="4" max="5" width="10.5546875" bestFit="1" customWidth="1"/>
    <col min="7" max="7" width="10.5546875" bestFit="1" customWidth="1"/>
    <col min="8" max="8" width="9.77734375" customWidth="1"/>
    <col min="9" max="12" width="10.5546875" bestFit="1" customWidth="1"/>
  </cols>
  <sheetData>
    <row r="1" spans="1:8">
      <c r="A1" s="11" t="s">
        <v>351</v>
      </c>
      <c r="B1" t="s">
        <v>352</v>
      </c>
      <c r="C1" t="s">
        <v>353</v>
      </c>
      <c r="D1" t="s">
        <v>354</v>
      </c>
      <c r="E1" t="s">
        <v>355</v>
      </c>
      <c r="F1" s="11" t="s">
        <v>356</v>
      </c>
      <c r="H1" s="12" t="s">
        <v>357</v>
      </c>
    </row>
    <row r="2" spans="1:8">
      <c r="B2">
        <v>0.8</v>
      </c>
      <c r="C2">
        <v>0.2</v>
      </c>
      <c r="D2">
        <v>0</v>
      </c>
      <c r="E2">
        <f>10-D2</f>
        <v>10</v>
      </c>
      <c r="F2">
        <f t="shared" ref="F2:F12" si="0">BINOMDIST(D2,10,0.8,FALSE)</f>
        <v>1.0240000000000004E-7</v>
      </c>
    </row>
    <row r="3" spans="1:8">
      <c r="D3">
        <v>1</v>
      </c>
      <c r="E3">
        <f t="shared" ref="E3:E12" si="1">10-D3</f>
        <v>9</v>
      </c>
      <c r="F3">
        <f t="shared" si="0"/>
        <v>4.0959999999999935E-6</v>
      </c>
    </row>
    <row r="4" spans="1:8">
      <c r="D4">
        <v>2</v>
      </c>
      <c r="E4">
        <f t="shared" si="1"/>
        <v>8</v>
      </c>
      <c r="F4">
        <f t="shared" si="0"/>
        <v>7.3727999999999861E-5</v>
      </c>
    </row>
    <row r="5" spans="1:8">
      <c r="D5">
        <v>3</v>
      </c>
      <c r="E5">
        <f t="shared" si="1"/>
        <v>7</v>
      </c>
      <c r="F5">
        <f t="shared" si="0"/>
        <v>7.8643199999999815E-4</v>
      </c>
    </row>
    <row r="6" spans="1:8">
      <c r="D6">
        <v>4</v>
      </c>
      <c r="E6">
        <f t="shared" si="1"/>
        <v>6</v>
      </c>
      <c r="F6">
        <f t="shared" si="0"/>
        <v>5.5050239999999894E-3</v>
      </c>
    </row>
    <row r="7" spans="1:8">
      <c r="D7">
        <v>5</v>
      </c>
      <c r="E7">
        <f t="shared" si="1"/>
        <v>5</v>
      </c>
      <c r="F7">
        <f t="shared" si="0"/>
        <v>2.642411519999999E-2</v>
      </c>
    </row>
    <row r="8" spans="1:8">
      <c r="D8">
        <v>6</v>
      </c>
      <c r="E8">
        <f t="shared" si="1"/>
        <v>4</v>
      </c>
      <c r="F8">
        <f t="shared" si="0"/>
        <v>8.8080383999999984E-2</v>
      </c>
    </row>
    <row r="9" spans="1:8">
      <c r="D9">
        <v>7</v>
      </c>
      <c r="E9">
        <f t="shared" si="1"/>
        <v>3</v>
      </c>
      <c r="F9">
        <f t="shared" si="0"/>
        <v>0.20132659199999994</v>
      </c>
    </row>
    <row r="10" spans="1:8">
      <c r="D10">
        <v>8</v>
      </c>
      <c r="E10">
        <f t="shared" si="1"/>
        <v>2</v>
      </c>
      <c r="F10">
        <f t="shared" si="0"/>
        <v>0.3019898880000001</v>
      </c>
    </row>
    <row r="11" spans="1:8">
      <c r="D11">
        <v>9</v>
      </c>
      <c r="E11">
        <f t="shared" si="1"/>
        <v>1</v>
      </c>
      <c r="F11">
        <f t="shared" si="0"/>
        <v>0.26843545600000007</v>
      </c>
    </row>
    <row r="12" spans="1:8">
      <c r="D12">
        <v>10</v>
      </c>
      <c r="E12">
        <f t="shared" si="1"/>
        <v>0</v>
      </c>
      <c r="F12">
        <f t="shared" si="0"/>
        <v>0.10737418240000005</v>
      </c>
    </row>
    <row r="13" spans="1:8">
      <c r="B13" s="11" t="s">
        <v>358</v>
      </c>
      <c r="F13">
        <f>SUM(F8:F11)</f>
        <v>0.85983232000000009</v>
      </c>
    </row>
    <row r="14" spans="1:8">
      <c r="F14">
        <f>SUM(F2:F7)</f>
        <v>3.2793497599999978E-2</v>
      </c>
    </row>
    <row r="15" spans="1:8">
      <c r="B15" s="11" t="s">
        <v>359</v>
      </c>
      <c r="C15" t="s">
        <v>146</v>
      </c>
      <c r="D15">
        <f>SUMPRODUCT(F2:F12,D2:D12)</f>
        <v>8.0000000000000018</v>
      </c>
      <c r="E15">
        <f>SUMPRODUCT(F2:F12,E2:E12)</f>
        <v>2</v>
      </c>
    </row>
    <row r="16" spans="1:8">
      <c r="C16" t="s">
        <v>360</v>
      </c>
      <c r="D16">
        <f>SUMPRODUCT(F2:F12,(D2:D12)^2)-D15^2</f>
        <v>1.5999999999999801</v>
      </c>
      <c r="E16">
        <f>SUMPRODUCT(F2:F12,(E2:E12)^2)-E15^2</f>
        <v>1.5999999999999988</v>
      </c>
    </row>
    <row r="17" spans="1:8">
      <c r="C17" t="s">
        <v>361</v>
      </c>
      <c r="D17">
        <f>SUMPRODUCT(F2:F12,D2:D12,E2:E12)-D15*E15</f>
        <v>-1.600000000000005</v>
      </c>
    </row>
    <row r="19" spans="1:8">
      <c r="A19" s="11" t="s">
        <v>362</v>
      </c>
      <c r="B19" t="s">
        <v>363</v>
      </c>
      <c r="C19" t="s">
        <v>364</v>
      </c>
      <c r="D19" t="s">
        <v>365</v>
      </c>
      <c r="E19" t="s">
        <v>5</v>
      </c>
      <c r="F19" t="s">
        <v>1529</v>
      </c>
      <c r="G19" t="s">
        <v>366</v>
      </c>
    </row>
    <row r="20" spans="1:8">
      <c r="B20">
        <v>10</v>
      </c>
      <c r="C20">
        <f>2*B20</f>
        <v>20</v>
      </c>
      <c r="D20">
        <v>13</v>
      </c>
      <c r="E20">
        <f>D20/20</f>
        <v>0.65</v>
      </c>
      <c r="F20">
        <f>E20*(1-E20)/C20</f>
        <v>1.1375E-2</v>
      </c>
      <c r="G20">
        <f>SQRT(E20*(1-E20)/C20)</f>
        <v>0.1066536450385077</v>
      </c>
    </row>
    <row r="22" spans="1:8">
      <c r="A22" s="11" t="s">
        <v>367</v>
      </c>
      <c r="B22" t="s">
        <v>368</v>
      </c>
      <c r="C22" t="s">
        <v>369</v>
      </c>
      <c r="D22" t="s">
        <v>370</v>
      </c>
      <c r="E22" t="s">
        <v>371</v>
      </c>
      <c r="F22" t="s">
        <v>372</v>
      </c>
    </row>
    <row r="23" spans="1:8">
      <c r="B23">
        <v>5</v>
      </c>
      <c r="C23">
        <v>0.9</v>
      </c>
      <c r="D23">
        <f>C23^2</f>
        <v>0.81</v>
      </c>
      <c r="E23">
        <f>2*C23*(1-C23)</f>
        <v>0.17999999999999997</v>
      </c>
      <c r="F23">
        <f>(1-C23)^2</f>
        <v>9.999999999999995E-3</v>
      </c>
    </row>
    <row r="24" spans="1:8">
      <c r="B24" t="s">
        <v>1531</v>
      </c>
      <c r="C24" t="s">
        <v>1532</v>
      </c>
      <c r="D24" t="s">
        <v>1533</v>
      </c>
      <c r="E24" t="s">
        <v>1530</v>
      </c>
      <c r="G24" t="s">
        <v>1530</v>
      </c>
      <c r="H24" t="s">
        <v>1530</v>
      </c>
    </row>
    <row r="25" spans="1:8">
      <c r="B25">
        <v>5</v>
      </c>
      <c r="C25">
        <v>0</v>
      </c>
      <c r="D25">
        <f>5-B25-C25</f>
        <v>0</v>
      </c>
      <c r="E25" s="58">
        <f t="shared" ref="E25:E45" si="2">MULTINOMIAL(B25,C25,D25)*$D$23^B25*$E$23^C25*$F$23^D25</f>
        <v>0.34867844009999999</v>
      </c>
      <c r="F25" t="s">
        <v>373</v>
      </c>
      <c r="G25">
        <f>SUM(E40:E45)</f>
        <v>2.4760989999999953E-4</v>
      </c>
    </row>
    <row r="26" spans="1:8">
      <c r="B26">
        <v>4</v>
      </c>
      <c r="C26">
        <v>1</v>
      </c>
      <c r="D26">
        <f t="shared" ref="D26:D45" si="3">5-B26-C26</f>
        <v>0</v>
      </c>
      <c r="E26" s="58">
        <f t="shared" si="2"/>
        <v>0.38742048899999998</v>
      </c>
      <c r="F26" t="s">
        <v>374</v>
      </c>
      <c r="G26" s="58">
        <f>SUM(E25,E27,E30,E34,E39,E45)</f>
        <v>0.37073984320000003</v>
      </c>
    </row>
    <row r="27" spans="1:8">
      <c r="B27">
        <v>4</v>
      </c>
      <c r="C27">
        <v>0</v>
      </c>
      <c r="D27">
        <f t="shared" si="3"/>
        <v>1</v>
      </c>
      <c r="E27" s="58">
        <f t="shared" si="2"/>
        <v>2.1523360499999991E-2</v>
      </c>
      <c r="F27" t="s">
        <v>375</v>
      </c>
      <c r="G27" s="58">
        <f>SUM(E25,E26,E28,E31,E35,E40)</f>
        <v>0.9509900498999998</v>
      </c>
    </row>
    <row r="28" spans="1:8">
      <c r="B28">
        <v>3</v>
      </c>
      <c r="C28">
        <v>2</v>
      </c>
      <c r="D28">
        <f t="shared" si="3"/>
        <v>0</v>
      </c>
      <c r="E28" s="58">
        <f t="shared" si="2"/>
        <v>0.17218688399999993</v>
      </c>
    </row>
    <row r="29" spans="1:8">
      <c r="B29">
        <v>3</v>
      </c>
      <c r="C29">
        <v>1</v>
      </c>
      <c r="D29">
        <f t="shared" si="3"/>
        <v>1</v>
      </c>
      <c r="E29" s="58">
        <f t="shared" si="2"/>
        <v>1.9131875999999989E-2</v>
      </c>
      <c r="F29" t="s">
        <v>1534</v>
      </c>
      <c r="G29" s="58">
        <f>SUM(E31:E34)</f>
        <v>4.5001898999999963E-2</v>
      </c>
    </row>
    <row r="30" spans="1:8">
      <c r="B30">
        <v>3</v>
      </c>
      <c r="C30">
        <v>0</v>
      </c>
      <c r="D30">
        <f t="shared" si="3"/>
        <v>2</v>
      </c>
      <c r="E30" s="58">
        <f t="shared" si="2"/>
        <v>5.3144099999999947E-4</v>
      </c>
      <c r="F30" t="s">
        <v>1535</v>
      </c>
      <c r="G30" s="58">
        <f>SUM(E28,E32,E37,E43)</f>
        <v>0.1786432319999999</v>
      </c>
    </row>
    <row r="31" spans="1:8">
      <c r="B31">
        <v>2</v>
      </c>
      <c r="C31">
        <v>3</v>
      </c>
      <c r="D31">
        <f t="shared" si="3"/>
        <v>0</v>
      </c>
      <c r="E31" s="58">
        <f t="shared" si="2"/>
        <v>3.826375199999997E-2</v>
      </c>
      <c r="F31" t="s">
        <v>1536</v>
      </c>
      <c r="G31" s="58">
        <f>SUM(E30,E33,E37,E42)</f>
        <v>9.702989999999989E-4</v>
      </c>
    </row>
    <row r="32" spans="1:8">
      <c r="B32">
        <v>2</v>
      </c>
      <c r="C32">
        <v>2</v>
      </c>
      <c r="D32">
        <f t="shared" si="3"/>
        <v>1</v>
      </c>
      <c r="E32" s="58">
        <f t="shared" si="2"/>
        <v>6.3772919999999927E-3</v>
      </c>
    </row>
    <row r="33" spans="1:5">
      <c r="B33">
        <v>2</v>
      </c>
      <c r="C33">
        <v>1</v>
      </c>
      <c r="D33">
        <f t="shared" si="3"/>
        <v>2</v>
      </c>
      <c r="E33" s="58">
        <f t="shared" si="2"/>
        <v>3.5429399999999952E-4</v>
      </c>
    </row>
    <row r="34" spans="1:5">
      <c r="B34">
        <v>2</v>
      </c>
      <c r="C34">
        <v>0</v>
      </c>
      <c r="D34">
        <f t="shared" si="3"/>
        <v>3</v>
      </c>
      <c r="E34" s="58">
        <f t="shared" si="2"/>
        <v>6.5609999999999902E-6</v>
      </c>
    </row>
    <row r="35" spans="1:5">
      <c r="B35">
        <v>1</v>
      </c>
      <c r="C35">
        <v>4</v>
      </c>
      <c r="D35">
        <f t="shared" si="3"/>
        <v>0</v>
      </c>
      <c r="E35" s="58">
        <f t="shared" si="2"/>
        <v>4.2515279999999949E-3</v>
      </c>
    </row>
    <row r="36" spans="1:5">
      <c r="B36">
        <v>1</v>
      </c>
      <c r="C36">
        <v>3</v>
      </c>
      <c r="D36">
        <f t="shared" si="3"/>
        <v>1</v>
      </c>
      <c r="E36" s="58">
        <f t="shared" si="2"/>
        <v>9.4478399999999886E-4</v>
      </c>
    </row>
    <row r="37" spans="1:5">
      <c r="B37">
        <v>1</v>
      </c>
      <c r="C37">
        <v>2</v>
      </c>
      <c r="D37">
        <f t="shared" si="3"/>
        <v>2</v>
      </c>
      <c r="E37" s="58">
        <f t="shared" si="2"/>
        <v>7.8731999999999869E-5</v>
      </c>
    </row>
    <row r="38" spans="1:5">
      <c r="B38">
        <v>1</v>
      </c>
      <c r="C38">
        <v>1</v>
      </c>
      <c r="D38">
        <f t="shared" si="3"/>
        <v>3</v>
      </c>
      <c r="E38" s="58">
        <f t="shared" si="2"/>
        <v>2.915999999999995E-6</v>
      </c>
    </row>
    <row r="39" spans="1:5">
      <c r="B39">
        <v>1</v>
      </c>
      <c r="C39">
        <v>0</v>
      </c>
      <c r="D39">
        <f t="shared" ref="D39" si="4">5-B39-C39</f>
        <v>4</v>
      </c>
      <c r="E39" s="58">
        <f t="shared" ref="E39" si="5">MULTINOMIAL(B39,C39,D39)*$D$23^B39*$E$23^C39*$F$23^D39</f>
        <v>4.0499999999999906E-8</v>
      </c>
    </row>
    <row r="40" spans="1:5">
      <c r="B40">
        <v>0</v>
      </c>
      <c r="C40">
        <v>5</v>
      </c>
      <c r="D40">
        <f t="shared" si="3"/>
        <v>0</v>
      </c>
      <c r="E40" s="58">
        <f t="shared" si="2"/>
        <v>1.889567999999997E-4</v>
      </c>
    </row>
    <row r="41" spans="1:5">
      <c r="B41">
        <v>0</v>
      </c>
      <c r="C41">
        <v>4</v>
      </c>
      <c r="D41">
        <f t="shared" si="3"/>
        <v>1</v>
      </c>
      <c r="E41" s="58">
        <f t="shared" si="2"/>
        <v>5.2487999999999901E-5</v>
      </c>
    </row>
    <row r="42" spans="1:5">
      <c r="B42">
        <v>0</v>
      </c>
      <c r="C42">
        <v>3</v>
      </c>
      <c r="D42">
        <f t="shared" si="3"/>
        <v>2</v>
      </c>
      <c r="E42" s="58">
        <f t="shared" si="2"/>
        <v>5.8319999999999884E-6</v>
      </c>
    </row>
    <row r="43" spans="1:5">
      <c r="B43">
        <v>0</v>
      </c>
      <c r="C43">
        <v>2</v>
      </c>
      <c r="D43">
        <f t="shared" si="3"/>
        <v>3</v>
      </c>
      <c r="E43" s="58">
        <f t="shared" si="2"/>
        <v>3.239999999999993E-7</v>
      </c>
    </row>
    <row r="44" spans="1:5">
      <c r="B44">
        <v>0</v>
      </c>
      <c r="C44">
        <v>1</v>
      </c>
      <c r="D44">
        <f t="shared" si="3"/>
        <v>4</v>
      </c>
      <c r="E44" s="58">
        <f t="shared" si="2"/>
        <v>8.9999999999999747E-9</v>
      </c>
    </row>
    <row r="45" spans="1:5">
      <c r="B45">
        <v>0</v>
      </c>
      <c r="C45">
        <v>0</v>
      </c>
      <c r="D45">
        <f t="shared" si="3"/>
        <v>5</v>
      </c>
      <c r="E45" s="58">
        <f t="shared" si="2"/>
        <v>9.9999999999999693E-11</v>
      </c>
    </row>
    <row r="47" spans="1:5">
      <c r="A47" s="11" t="s">
        <v>376</v>
      </c>
      <c r="B47" t="s">
        <v>377</v>
      </c>
    </row>
    <row r="49" spans="1:10">
      <c r="A49" s="11" t="s">
        <v>378</v>
      </c>
      <c r="B49" t="s">
        <v>379</v>
      </c>
      <c r="C49" t="s">
        <v>380</v>
      </c>
      <c r="D49" t="s">
        <v>385</v>
      </c>
      <c r="E49" t="s">
        <v>386</v>
      </c>
      <c r="F49" t="s">
        <v>368</v>
      </c>
      <c r="G49" t="s">
        <v>381</v>
      </c>
      <c r="H49" t="s">
        <v>382</v>
      </c>
    </row>
    <row r="50" spans="1:10">
      <c r="A50" t="s">
        <v>383</v>
      </c>
      <c r="B50">
        <v>6</v>
      </c>
      <c r="C50">
        <v>6</v>
      </c>
      <c r="F50">
        <f>B50+C50</f>
        <v>12</v>
      </c>
      <c r="G50">
        <f>B50/F50</f>
        <v>0.5</v>
      </c>
      <c r="H50">
        <f>SQRT(G50*(1-G50)/F50)</f>
        <v>0.14433756729740643</v>
      </c>
    </row>
    <row r="51" spans="1:10">
      <c r="A51" t="s">
        <v>384</v>
      </c>
      <c r="B51">
        <f>F50*0.75</f>
        <v>9</v>
      </c>
      <c r="C51">
        <f>F50*0.25</f>
        <v>3</v>
      </c>
    </row>
    <row r="52" spans="1:10">
      <c r="A52" t="s">
        <v>387</v>
      </c>
      <c r="B52">
        <f>(B50-B51)^2/B51</f>
        <v>1</v>
      </c>
      <c r="C52">
        <f>(C50-C51)^2/C51</f>
        <v>3</v>
      </c>
      <c r="D52">
        <f>SUM(B52:C52)</f>
        <v>4</v>
      </c>
      <c r="E52">
        <f>CHIDIST(D52,1)</f>
        <v>4.5500263896358382E-2</v>
      </c>
    </row>
    <row r="53" spans="1:10">
      <c r="A53" t="s">
        <v>388</v>
      </c>
      <c r="B53">
        <f>(ABS(B50-B51)-0.5)^2/B51</f>
        <v>0.69444444444444442</v>
      </c>
      <c r="C53">
        <f>(ABS(C50-C51)-0.5)^2/C51</f>
        <v>2.0833333333333335</v>
      </c>
      <c r="D53">
        <f>SUM(B53:C53)</f>
        <v>2.7777777777777777</v>
      </c>
      <c r="E53">
        <f>CHIDIST(D53,1)</f>
        <v>9.5580704545629405E-2</v>
      </c>
      <c r="G53" t="s">
        <v>1537</v>
      </c>
    </row>
    <row r="55" spans="1:10">
      <c r="B55" t="s">
        <v>389</v>
      </c>
      <c r="C55" t="s">
        <v>390</v>
      </c>
      <c r="D55" t="s">
        <v>391</v>
      </c>
      <c r="G55" t="s">
        <v>392</v>
      </c>
      <c r="H55" t="s">
        <v>393</v>
      </c>
      <c r="I55" t="s">
        <v>409</v>
      </c>
      <c r="J55" t="s">
        <v>394</v>
      </c>
    </row>
    <row r="56" spans="1:10">
      <c r="A56" t="s">
        <v>395</v>
      </c>
      <c r="B56">
        <v>0</v>
      </c>
      <c r="C56">
        <f>12-B56</f>
        <v>12</v>
      </c>
      <c r="D56">
        <f>BINOMDIST(B56,12,0.75,0)</f>
        <v>5.9604644775390718E-8</v>
      </c>
      <c r="F56" t="s">
        <v>396</v>
      </c>
      <c r="G56">
        <v>0</v>
      </c>
      <c r="H56">
        <v>12</v>
      </c>
      <c r="I56" s="58">
        <v>5.9604644775390718E-8</v>
      </c>
      <c r="J56" s="58">
        <f>I56</f>
        <v>5.9604644775390718E-8</v>
      </c>
    </row>
    <row r="57" spans="1:10">
      <c r="A57" t="s">
        <v>395</v>
      </c>
      <c r="B57">
        <v>1</v>
      </c>
      <c r="C57">
        <f t="shared" ref="C57:C68" si="6">12-B57</f>
        <v>11</v>
      </c>
      <c r="D57">
        <f t="shared" ref="D57:D68" si="7">BINOMDIST(B57,12,0.75,0)</f>
        <v>2.1457672119140625E-6</v>
      </c>
      <c r="F57" t="s">
        <v>396</v>
      </c>
      <c r="G57">
        <v>1</v>
      </c>
      <c r="H57">
        <v>11</v>
      </c>
      <c r="I57" s="58">
        <v>2.1457672119140625E-6</v>
      </c>
      <c r="J57" s="58">
        <f>I57+J56</f>
        <v>2.2053718566894531E-6</v>
      </c>
    </row>
    <row r="58" spans="1:10">
      <c r="A58" t="s">
        <v>395</v>
      </c>
      <c r="B58">
        <v>2</v>
      </c>
      <c r="C58">
        <f t="shared" si="6"/>
        <v>10</v>
      </c>
      <c r="D58">
        <f t="shared" si="7"/>
        <v>3.540515899658197E-5</v>
      </c>
      <c r="F58" t="s">
        <v>396</v>
      </c>
      <c r="G58">
        <v>2</v>
      </c>
      <c r="H58">
        <v>10</v>
      </c>
      <c r="I58" s="58">
        <v>3.540515899658197E-5</v>
      </c>
      <c r="J58" s="58">
        <f t="shared" ref="J58:J68" si="8">I58+J57</f>
        <v>3.7610530853271423E-5</v>
      </c>
    </row>
    <row r="59" spans="1:10">
      <c r="A59" t="s">
        <v>395</v>
      </c>
      <c r="B59">
        <v>3</v>
      </c>
      <c r="C59">
        <f t="shared" si="6"/>
        <v>9</v>
      </c>
      <c r="D59">
        <f t="shared" si="7"/>
        <v>3.540515899658202E-4</v>
      </c>
      <c r="F59" t="s">
        <v>396</v>
      </c>
      <c r="G59">
        <v>3</v>
      </c>
      <c r="H59">
        <v>9</v>
      </c>
      <c r="I59" s="58">
        <v>3.540515899658202E-4</v>
      </c>
      <c r="J59" s="58">
        <f t="shared" si="8"/>
        <v>3.9166212081909163E-4</v>
      </c>
    </row>
    <row r="60" spans="1:10">
      <c r="A60" t="s">
        <v>395</v>
      </c>
      <c r="B60">
        <v>4</v>
      </c>
      <c r="C60">
        <f t="shared" si="6"/>
        <v>8</v>
      </c>
      <c r="D60">
        <f t="shared" si="7"/>
        <v>2.3898482322692893E-3</v>
      </c>
      <c r="F60" t="s">
        <v>396</v>
      </c>
      <c r="G60">
        <v>4</v>
      </c>
      <c r="H60">
        <v>8</v>
      </c>
      <c r="I60" s="58">
        <v>2.3898482322692893E-3</v>
      </c>
      <c r="J60" s="58">
        <f t="shared" si="8"/>
        <v>2.7815103530883811E-3</v>
      </c>
    </row>
    <row r="61" spans="1:10">
      <c r="A61" t="s">
        <v>395</v>
      </c>
      <c r="B61">
        <v>5</v>
      </c>
      <c r="C61">
        <f t="shared" si="6"/>
        <v>7</v>
      </c>
      <c r="D61">
        <f t="shared" si="7"/>
        <v>1.1471271514892568E-2</v>
      </c>
      <c r="F61" t="s">
        <v>396</v>
      </c>
      <c r="G61">
        <v>5</v>
      </c>
      <c r="H61">
        <v>7</v>
      </c>
      <c r="I61" s="58">
        <v>1.1471271514892568E-2</v>
      </c>
      <c r="J61" s="58">
        <f t="shared" si="8"/>
        <v>1.4252781867980948E-2</v>
      </c>
    </row>
    <row r="62" spans="1:10">
      <c r="A62" t="s">
        <v>395</v>
      </c>
      <c r="B62">
        <v>6</v>
      </c>
      <c r="C62">
        <f t="shared" si="6"/>
        <v>6</v>
      </c>
      <c r="D62">
        <f t="shared" si="7"/>
        <v>4.014945030212403E-2</v>
      </c>
      <c r="F62" t="s">
        <v>396</v>
      </c>
      <c r="G62">
        <v>12</v>
      </c>
      <c r="H62">
        <v>0</v>
      </c>
      <c r="I62" s="58">
        <v>3.1676352024078376E-2</v>
      </c>
      <c r="J62" s="58">
        <f t="shared" si="8"/>
        <v>4.5929133892059326E-2</v>
      </c>
    </row>
    <row r="63" spans="1:10">
      <c r="A63" t="s">
        <v>395</v>
      </c>
      <c r="B63">
        <v>7</v>
      </c>
      <c r="C63">
        <f t="shared" si="6"/>
        <v>5</v>
      </c>
      <c r="D63">
        <f t="shared" si="7"/>
        <v>0.1032414436340332</v>
      </c>
      <c r="F63" s="59" t="s">
        <v>396</v>
      </c>
      <c r="G63" s="59">
        <v>6</v>
      </c>
      <c r="H63" s="59">
        <v>6</v>
      </c>
      <c r="I63" s="60">
        <v>4.014945030212403E-2</v>
      </c>
      <c r="J63" s="60">
        <f t="shared" si="8"/>
        <v>8.607858419418335E-2</v>
      </c>
    </row>
    <row r="64" spans="1:10">
      <c r="A64" t="s">
        <v>395</v>
      </c>
      <c r="B64">
        <v>8</v>
      </c>
      <c r="C64">
        <f t="shared" si="6"/>
        <v>4</v>
      </c>
      <c r="D64">
        <f t="shared" si="7"/>
        <v>0.19357770681381228</v>
      </c>
      <c r="F64" t="s">
        <v>396</v>
      </c>
      <c r="G64">
        <v>7</v>
      </c>
      <c r="H64">
        <v>5</v>
      </c>
      <c r="I64" s="58">
        <v>0.1032414436340332</v>
      </c>
      <c r="J64" s="58">
        <f t="shared" si="8"/>
        <v>0.18932002782821655</v>
      </c>
    </row>
    <row r="65" spans="1:14">
      <c r="A65" t="s">
        <v>395</v>
      </c>
      <c r="B65">
        <v>9</v>
      </c>
      <c r="C65">
        <f t="shared" si="6"/>
        <v>3</v>
      </c>
      <c r="D65">
        <f t="shared" si="7"/>
        <v>0.25810360908508295</v>
      </c>
      <c r="F65" t="s">
        <v>396</v>
      </c>
      <c r="G65">
        <v>11</v>
      </c>
      <c r="H65">
        <v>1</v>
      </c>
      <c r="I65" s="58">
        <v>0.1267054080963135</v>
      </c>
      <c r="J65" s="58">
        <f t="shared" si="8"/>
        <v>0.31602543592453003</v>
      </c>
    </row>
    <row r="66" spans="1:14">
      <c r="A66" t="s">
        <v>395</v>
      </c>
      <c r="B66">
        <v>10</v>
      </c>
      <c r="C66">
        <f t="shared" si="6"/>
        <v>2</v>
      </c>
      <c r="D66">
        <f t="shared" si="7"/>
        <v>0.23229324817657471</v>
      </c>
      <c r="F66" t="s">
        <v>396</v>
      </c>
      <c r="G66">
        <v>8</v>
      </c>
      <c r="H66">
        <v>4</v>
      </c>
      <c r="I66" s="58">
        <v>0.19357770681381228</v>
      </c>
      <c r="J66" s="58">
        <f t="shared" si="8"/>
        <v>0.50960314273834229</v>
      </c>
    </row>
    <row r="67" spans="1:14">
      <c r="A67" t="s">
        <v>395</v>
      </c>
      <c r="B67">
        <v>11</v>
      </c>
      <c r="C67">
        <f t="shared" si="6"/>
        <v>1</v>
      </c>
      <c r="D67">
        <f t="shared" si="7"/>
        <v>0.1267054080963135</v>
      </c>
      <c r="F67" t="s">
        <v>396</v>
      </c>
      <c r="G67">
        <v>10</v>
      </c>
      <c r="H67">
        <v>2</v>
      </c>
      <c r="I67" s="58">
        <v>0.23229324817657471</v>
      </c>
      <c r="J67" s="58">
        <f t="shared" si="8"/>
        <v>0.74189639091491699</v>
      </c>
    </row>
    <row r="68" spans="1:14">
      <c r="A68" t="s">
        <v>395</v>
      </c>
      <c r="B68">
        <v>12</v>
      </c>
      <c r="C68">
        <f t="shared" si="6"/>
        <v>0</v>
      </c>
      <c r="D68">
        <f t="shared" si="7"/>
        <v>3.1676352024078376E-2</v>
      </c>
      <c r="F68" t="s">
        <v>396</v>
      </c>
      <c r="G68">
        <v>9</v>
      </c>
      <c r="H68">
        <v>3</v>
      </c>
      <c r="I68" s="58">
        <v>0.25810360908508295</v>
      </c>
      <c r="J68" s="58">
        <f t="shared" si="8"/>
        <v>1</v>
      </c>
    </row>
    <row r="70" spans="1:14">
      <c r="A70" s="11" t="s">
        <v>397</v>
      </c>
    </row>
    <row r="71" spans="1:14">
      <c r="B71" t="s">
        <v>2</v>
      </c>
      <c r="C71" t="s">
        <v>3</v>
      </c>
      <c r="D71" t="s">
        <v>4</v>
      </c>
      <c r="E71" t="s">
        <v>403</v>
      </c>
      <c r="F71" t="s">
        <v>404</v>
      </c>
      <c r="G71" t="s">
        <v>363</v>
      </c>
      <c r="H71" t="s">
        <v>160</v>
      </c>
      <c r="I71" t="s">
        <v>187</v>
      </c>
      <c r="J71" t="s">
        <v>5</v>
      </c>
      <c r="K71" t="s">
        <v>399</v>
      </c>
    </row>
    <row r="72" spans="1:14">
      <c r="A72" t="s">
        <v>400</v>
      </c>
      <c r="B72">
        <v>7</v>
      </c>
      <c r="C72">
        <v>11</v>
      </c>
      <c r="D72">
        <v>2</v>
      </c>
      <c r="G72">
        <f>SUM(B72:D72)</f>
        <v>20</v>
      </c>
      <c r="H72">
        <f>2*B72+C72</f>
        <v>25</v>
      </c>
      <c r="I72">
        <f>C72+2*D72</f>
        <v>15</v>
      </c>
      <c r="J72">
        <f>H72/(2*G72)</f>
        <v>0.625</v>
      </c>
      <c r="K72">
        <f>SQRT(J72*(1-J72)/(2*G72))</f>
        <v>7.6546554461974309E-2</v>
      </c>
    </row>
    <row r="73" spans="1:14">
      <c r="A73" t="s">
        <v>401</v>
      </c>
      <c r="B73" s="13">
        <f>J72^2</f>
        <v>0.390625</v>
      </c>
      <c r="C73" s="13">
        <f>2*J72*(1-J72)</f>
        <v>0.46875</v>
      </c>
      <c r="D73" s="13">
        <f>(1-J72)^2</f>
        <v>0.140625</v>
      </c>
    </row>
    <row r="74" spans="1:14">
      <c r="A74" t="s">
        <v>402</v>
      </c>
      <c r="B74" s="39">
        <f>B73*G72</f>
        <v>7.8125</v>
      </c>
      <c r="C74" s="39">
        <f>C73*G72</f>
        <v>9.375</v>
      </c>
      <c r="D74" s="39">
        <f>D73*G72</f>
        <v>2.8125</v>
      </c>
    </row>
    <row r="75" spans="1:14">
      <c r="A75" t="s">
        <v>405</v>
      </c>
      <c r="B75" s="13">
        <f>(B72-B74)^2/B74</f>
        <v>8.4500000000000006E-2</v>
      </c>
      <c r="C75" s="13">
        <f t="shared" ref="C75:D75" si="9">(C72-C74)^2/C74</f>
        <v>0.28166666666666668</v>
      </c>
      <c r="D75" s="13">
        <f t="shared" si="9"/>
        <v>0.23472222222222222</v>
      </c>
      <c r="E75" s="13">
        <f>SUM(B75:D75)</f>
        <v>0.60088888888888892</v>
      </c>
      <c r="F75" s="13">
        <f>CHIDIST(E75,1)</f>
        <v>0.43823907554994229</v>
      </c>
    </row>
    <row r="76" spans="1:14">
      <c r="A76" t="s">
        <v>388</v>
      </c>
      <c r="B76" s="13">
        <f>(ABS(B72-B74)-0.5)^2/B74</f>
        <v>1.2500000000000001E-2</v>
      </c>
      <c r="C76" s="13">
        <f t="shared" ref="C76:D76" si="10">(ABS(C72-C74)-0.5)^2/C74</f>
        <v>0.13500000000000001</v>
      </c>
      <c r="D76" s="13">
        <f t="shared" si="10"/>
        <v>3.4722222222222224E-2</v>
      </c>
      <c r="E76" s="13">
        <f>SUM(B76:D76)</f>
        <v>0.18222222222222223</v>
      </c>
      <c r="F76" s="13">
        <f>CHIDIST(E76,1)</f>
        <v>0.66947041251730055</v>
      </c>
    </row>
    <row r="78" spans="1:14">
      <c r="A78" t="s">
        <v>398</v>
      </c>
      <c r="B78" t="s">
        <v>2</v>
      </c>
      <c r="C78" t="s">
        <v>3</v>
      </c>
      <c r="D78" t="s">
        <v>4</v>
      </c>
      <c r="E78" t="s">
        <v>406</v>
      </c>
      <c r="H78" t="s">
        <v>135</v>
      </c>
      <c r="I78" t="s">
        <v>407</v>
      </c>
      <c r="J78" t="s">
        <v>408</v>
      </c>
      <c r="K78" t="s">
        <v>409</v>
      </c>
      <c r="L78" t="s">
        <v>394</v>
      </c>
    </row>
    <row r="79" spans="1:14">
      <c r="A79" t="s">
        <v>395</v>
      </c>
      <c r="B79">
        <f t="shared" ref="B79:B86" si="11">($H$72-C79)/2</f>
        <v>12</v>
      </c>
      <c r="C79">
        <f>IF(MOD(H72,2)=0,0,1)</f>
        <v>1</v>
      </c>
      <c r="D79">
        <f t="shared" ref="D79:D86" si="12">($I$72-C79)/2</f>
        <v>7</v>
      </c>
      <c r="E79" s="13">
        <f t="shared" ref="E79:E86" si="13">FACT($G$72)*FACT($H$72)*FACT($I$72)/(FACT(2*$G$72)*FACT(B79)*FACT(C79)*FACT(D79))*2^C79</f>
        <v>5.0105723075689685E-5</v>
      </c>
      <c r="G79" t="s">
        <v>396</v>
      </c>
      <c r="H79">
        <v>12</v>
      </c>
      <c r="I79">
        <v>1</v>
      </c>
      <c r="J79">
        <v>7</v>
      </c>
      <c r="K79" s="61">
        <v>5.0105723075689685E-5</v>
      </c>
      <c r="L79" s="61">
        <f>K79</f>
        <v>5.0105723075689685E-5</v>
      </c>
      <c r="M79" s="13"/>
      <c r="N79" s="13"/>
    </row>
    <row r="80" spans="1:14">
      <c r="A80" t="s">
        <v>395</v>
      </c>
      <c r="B80">
        <f t="shared" si="11"/>
        <v>11</v>
      </c>
      <c r="C80">
        <f>C79+2</f>
        <v>3</v>
      </c>
      <c r="D80">
        <f t="shared" si="12"/>
        <v>6</v>
      </c>
      <c r="E80" s="13">
        <f t="shared" si="13"/>
        <v>2.8059204922386222E-3</v>
      </c>
      <c r="G80" t="s">
        <v>396</v>
      </c>
      <c r="H80">
        <v>11</v>
      </c>
      <c r="I80">
        <v>3</v>
      </c>
      <c r="J80">
        <v>6</v>
      </c>
      <c r="K80" s="61">
        <v>2.8059204922386222E-3</v>
      </c>
      <c r="L80" s="61">
        <f>L79+K80</f>
        <v>2.8560262153143117E-3</v>
      </c>
      <c r="M80" s="13"/>
      <c r="N80" s="13"/>
    </row>
    <row r="81" spans="1:14">
      <c r="A81" t="s">
        <v>395</v>
      </c>
      <c r="B81">
        <f t="shared" si="11"/>
        <v>10</v>
      </c>
      <c r="C81">
        <f t="shared" ref="C81:C86" si="14">C80+2</f>
        <v>5</v>
      </c>
      <c r="D81">
        <f t="shared" si="12"/>
        <v>5</v>
      </c>
      <c r="E81" s="13">
        <f t="shared" si="13"/>
        <v>3.7038150497549813E-2</v>
      </c>
      <c r="G81" t="s">
        <v>396</v>
      </c>
      <c r="H81">
        <v>5</v>
      </c>
      <c r="I81">
        <v>15</v>
      </c>
      <c r="J81">
        <v>0</v>
      </c>
      <c r="K81" s="61">
        <v>1.262972564418615E-2</v>
      </c>
      <c r="L81" s="61">
        <f t="shared" ref="L81:L86" si="15">L80+K81</f>
        <v>1.5485751859500463E-2</v>
      </c>
      <c r="M81" s="13"/>
      <c r="N81" s="13"/>
    </row>
    <row r="82" spans="1:14">
      <c r="A82" t="s">
        <v>395</v>
      </c>
      <c r="B82">
        <f t="shared" si="11"/>
        <v>9</v>
      </c>
      <c r="C82">
        <f t="shared" si="14"/>
        <v>7</v>
      </c>
      <c r="D82">
        <f t="shared" si="12"/>
        <v>4</v>
      </c>
      <c r="E82" s="13">
        <f t="shared" si="13"/>
        <v>0.17637214522642769</v>
      </c>
      <c r="G82" t="s">
        <v>396</v>
      </c>
      <c r="H82">
        <v>10</v>
      </c>
      <c r="I82">
        <v>5</v>
      </c>
      <c r="J82">
        <v>5</v>
      </c>
      <c r="K82" s="61">
        <v>3.7038150497549813E-2</v>
      </c>
      <c r="L82" s="61">
        <f t="shared" si="15"/>
        <v>5.2523902357050276E-2</v>
      </c>
      <c r="M82" s="13"/>
      <c r="N82" s="13"/>
    </row>
    <row r="83" spans="1:14">
      <c r="A83" t="s">
        <v>395</v>
      </c>
      <c r="B83">
        <f t="shared" si="11"/>
        <v>8</v>
      </c>
      <c r="C83">
        <f t="shared" si="14"/>
        <v>9</v>
      </c>
      <c r="D83">
        <f t="shared" si="12"/>
        <v>3</v>
      </c>
      <c r="E83" s="13">
        <f t="shared" si="13"/>
        <v>0.35274429045285538</v>
      </c>
      <c r="G83" t="s">
        <v>396</v>
      </c>
      <c r="H83">
        <v>6</v>
      </c>
      <c r="I83">
        <v>13</v>
      </c>
      <c r="J83">
        <v>1</v>
      </c>
      <c r="K83" s="61">
        <v>0.1105100993866288</v>
      </c>
      <c r="L83" s="61">
        <f t="shared" si="15"/>
        <v>0.16303400174367907</v>
      </c>
      <c r="M83" s="13"/>
      <c r="N83" s="13"/>
    </row>
    <row r="84" spans="1:14">
      <c r="A84" t="s">
        <v>395</v>
      </c>
      <c r="B84">
        <f t="shared" si="11"/>
        <v>7</v>
      </c>
      <c r="C84">
        <f t="shared" si="14"/>
        <v>11</v>
      </c>
      <c r="D84">
        <f t="shared" si="12"/>
        <v>2</v>
      </c>
      <c r="E84" s="13">
        <f t="shared" si="13"/>
        <v>0.30784956257703738</v>
      </c>
      <c r="G84" t="s">
        <v>396</v>
      </c>
      <c r="H84">
        <v>9</v>
      </c>
      <c r="I84">
        <v>7</v>
      </c>
      <c r="J84">
        <v>4</v>
      </c>
      <c r="K84" s="61">
        <v>0.17637214522642769</v>
      </c>
      <c r="L84" s="61">
        <f t="shared" si="15"/>
        <v>0.33940614697010674</v>
      </c>
      <c r="M84" s="13"/>
      <c r="N84" s="13"/>
    </row>
    <row r="85" spans="1:14">
      <c r="A85" t="s">
        <v>395</v>
      </c>
      <c r="B85">
        <f t="shared" si="11"/>
        <v>6</v>
      </c>
      <c r="C85">
        <f t="shared" si="14"/>
        <v>13</v>
      </c>
      <c r="D85">
        <f t="shared" si="12"/>
        <v>1</v>
      </c>
      <c r="E85" s="13">
        <f t="shared" si="13"/>
        <v>0.1105100993866288</v>
      </c>
      <c r="G85" t="s">
        <v>396</v>
      </c>
      <c r="H85" s="59">
        <v>7</v>
      </c>
      <c r="I85" s="59">
        <v>11</v>
      </c>
      <c r="J85" s="59">
        <v>2</v>
      </c>
      <c r="K85" s="62">
        <v>0.30784956257703738</v>
      </c>
      <c r="L85" s="62">
        <f t="shared" si="15"/>
        <v>0.64725570954714406</v>
      </c>
      <c r="M85" s="13"/>
      <c r="N85" s="13"/>
    </row>
    <row r="86" spans="1:14">
      <c r="A86" t="s">
        <v>395</v>
      </c>
      <c r="B86">
        <f t="shared" si="11"/>
        <v>5</v>
      </c>
      <c r="C86">
        <f t="shared" si="14"/>
        <v>15</v>
      </c>
      <c r="D86">
        <f t="shared" si="12"/>
        <v>0</v>
      </c>
      <c r="E86" s="13">
        <f t="shared" si="13"/>
        <v>1.262972564418615E-2</v>
      </c>
      <c r="G86" t="s">
        <v>396</v>
      </c>
      <c r="H86">
        <v>8</v>
      </c>
      <c r="I86">
        <v>9</v>
      </c>
      <c r="J86">
        <v>3</v>
      </c>
      <c r="K86" s="61">
        <v>0.35274429045285538</v>
      </c>
      <c r="L86" s="61">
        <f t="shared" si="15"/>
        <v>0.99999999999999944</v>
      </c>
      <c r="M86" s="13"/>
      <c r="N86" s="13"/>
    </row>
    <row r="87" spans="1:14">
      <c r="H87" s="13"/>
    </row>
    <row r="88" spans="1:14">
      <c r="A88" s="11" t="s">
        <v>410</v>
      </c>
      <c r="B88" t="s">
        <v>411</v>
      </c>
      <c r="C88" t="s">
        <v>412</v>
      </c>
    </row>
    <row r="89" spans="1:14">
      <c r="B89">
        <v>1</v>
      </c>
      <c r="C89">
        <f>1/EXP(1)</f>
        <v>0.36787944117144233</v>
      </c>
    </row>
    <row r="90" spans="1:14">
      <c r="B90">
        <v>2</v>
      </c>
      <c r="C90">
        <f>EXP(C89-1)</f>
        <v>0.53146360538661563</v>
      </c>
    </row>
    <row r="91" spans="1:14">
      <c r="B91">
        <v>3</v>
      </c>
      <c r="C91">
        <f t="shared" ref="C91:C108" si="16">EXP(C90-1)</f>
        <v>0.62591769471732239</v>
      </c>
    </row>
    <row r="92" spans="1:14">
      <c r="B92">
        <v>4</v>
      </c>
      <c r="C92">
        <f t="shared" si="16"/>
        <v>0.68792029002494448</v>
      </c>
    </row>
    <row r="93" spans="1:14">
      <c r="B93">
        <v>5</v>
      </c>
      <c r="C93">
        <f t="shared" si="16"/>
        <v>0.73192318432428294</v>
      </c>
    </row>
    <row r="94" spans="1:14">
      <c r="B94">
        <v>6</v>
      </c>
      <c r="C94">
        <f t="shared" si="16"/>
        <v>0.76484902645146535</v>
      </c>
    </row>
    <row r="95" spans="1:14">
      <c r="B95">
        <v>7</v>
      </c>
      <c r="C95">
        <f t="shared" si="16"/>
        <v>0.79045150335149128</v>
      </c>
    </row>
    <row r="96" spans="1:14">
      <c r="B96">
        <v>8</v>
      </c>
      <c r="C96">
        <f t="shared" si="16"/>
        <v>0.81095031010728236</v>
      </c>
    </row>
    <row r="97" spans="1:7">
      <c r="B97">
        <v>9</v>
      </c>
      <c r="C97">
        <f t="shared" si="16"/>
        <v>0.82774537509394375</v>
      </c>
    </row>
    <row r="98" spans="1:7">
      <c r="B98">
        <v>10</v>
      </c>
      <c r="C98">
        <f t="shared" si="16"/>
        <v>0.84176481159268679</v>
      </c>
    </row>
    <row r="99" spans="1:7">
      <c r="B99">
        <v>11</v>
      </c>
      <c r="C99">
        <f t="shared" si="16"/>
        <v>0.85364899001107175</v>
      </c>
    </row>
    <row r="100" spans="1:7">
      <c r="B100">
        <v>12</v>
      </c>
      <c r="C100">
        <f t="shared" si="16"/>
        <v>0.86385442842816396</v>
      </c>
    </row>
    <row r="101" spans="1:7">
      <c r="B101">
        <v>13</v>
      </c>
      <c r="C101">
        <f t="shared" si="16"/>
        <v>0.87271558066253385</v>
      </c>
    </row>
    <row r="102" spans="1:7">
      <c r="B102">
        <v>14</v>
      </c>
      <c r="C102">
        <f t="shared" si="16"/>
        <v>0.88048321052932887</v>
      </c>
    </row>
    <row r="103" spans="1:7">
      <c r="B103">
        <v>15</v>
      </c>
      <c r="C103">
        <f t="shared" si="16"/>
        <v>0.88734910957213375</v>
      </c>
    </row>
    <row r="104" spans="1:7">
      <c r="B104">
        <v>16</v>
      </c>
      <c r="C104">
        <f t="shared" si="16"/>
        <v>0.89346252199463572</v>
      </c>
    </row>
    <row r="105" spans="1:7">
      <c r="B105">
        <v>17</v>
      </c>
      <c r="C105">
        <f t="shared" si="16"/>
        <v>0.89894135700089683</v>
      </c>
    </row>
    <row r="106" spans="1:7">
      <c r="B106">
        <v>18</v>
      </c>
      <c r="C106">
        <f t="shared" si="16"/>
        <v>0.90388002509611032</v>
      </c>
    </row>
    <row r="107" spans="1:7">
      <c r="B107">
        <v>19</v>
      </c>
      <c r="C107">
        <f t="shared" si="16"/>
        <v>0.90835502972363491</v>
      </c>
    </row>
    <row r="108" spans="1:7">
      <c r="B108">
        <v>20</v>
      </c>
      <c r="C108">
        <f t="shared" si="16"/>
        <v>0.91242903147471333</v>
      </c>
    </row>
    <row r="110" spans="1:7">
      <c r="A110" s="11" t="s">
        <v>413</v>
      </c>
      <c r="B110" t="s">
        <v>5</v>
      </c>
      <c r="C110" t="s">
        <v>414</v>
      </c>
      <c r="D110" s="14" t="s">
        <v>415</v>
      </c>
      <c r="E110" s="14" t="s">
        <v>205</v>
      </c>
      <c r="F110" s="14" t="s">
        <v>416</v>
      </c>
      <c r="G110" s="14" t="s">
        <v>394</v>
      </c>
    </row>
    <row r="111" spans="1:7">
      <c r="B111">
        <f>1/89</f>
        <v>1.1235955056179775E-2</v>
      </c>
      <c r="C111">
        <v>300</v>
      </c>
      <c r="D111">
        <f>B111*C111</f>
        <v>3.3707865168539324</v>
      </c>
      <c r="E111">
        <v>0</v>
      </c>
      <c r="F111">
        <f>_xlfn.POISSON.DIST(E111,$D$111,FALSE)</f>
        <v>3.4362599948178793E-2</v>
      </c>
      <c r="G111">
        <f>_xlfn.POISSON.DIST(E111,$D$111,1)</f>
        <v>3.4362599948178793E-2</v>
      </c>
    </row>
    <row r="112" spans="1:7">
      <c r="E112">
        <v>1</v>
      </c>
      <c r="F112">
        <f t="shared" ref="F112:F117" si="17">_xlfn.POISSON.DIST(E112,$D$111,FALSE)</f>
        <v>0.11582898858936669</v>
      </c>
      <c r="G112">
        <f t="shared" ref="G112:G117" si="18">_xlfn.POISSON.DIST(E112,$D$111,1)</f>
        <v>0.15019158853754552</v>
      </c>
    </row>
    <row r="113" spans="1:7">
      <c r="E113">
        <v>2</v>
      </c>
      <c r="F113">
        <f t="shared" si="17"/>
        <v>0.19521739649893266</v>
      </c>
      <c r="G113">
        <f t="shared" si="18"/>
        <v>0.34540898503647816</v>
      </c>
    </row>
    <row r="114" spans="1:7">
      <c r="E114">
        <v>3</v>
      </c>
      <c r="F114">
        <f t="shared" si="17"/>
        <v>0.21934538932464342</v>
      </c>
      <c r="G114">
        <f t="shared" si="18"/>
        <v>0.56475437436112153</v>
      </c>
    </row>
    <row r="115" spans="1:7">
      <c r="E115">
        <v>4</v>
      </c>
      <c r="F115">
        <f t="shared" si="17"/>
        <v>0.18484162021739614</v>
      </c>
      <c r="G115">
        <f t="shared" si="18"/>
        <v>0.74959599457851778</v>
      </c>
    </row>
    <row r="116" spans="1:7">
      <c r="E116">
        <v>5</v>
      </c>
      <c r="F116">
        <f t="shared" si="17"/>
        <v>0.12461232823644681</v>
      </c>
      <c r="G116">
        <f t="shared" si="18"/>
        <v>0.87420832281496441</v>
      </c>
    </row>
    <row r="117" spans="1:7">
      <c r="E117">
        <v>6</v>
      </c>
      <c r="F117">
        <f t="shared" si="17"/>
        <v>7.0006925975531917E-2</v>
      </c>
      <c r="G117">
        <f t="shared" si="18"/>
        <v>0.94421524879049623</v>
      </c>
    </row>
    <row r="118" spans="1:7">
      <c r="E118" t="s">
        <v>1538</v>
      </c>
      <c r="G118">
        <f>1-G117</f>
        <v>5.5784751209503769E-2</v>
      </c>
    </row>
    <row r="119" spans="1:7" ht="16.8">
      <c r="A119" s="11" t="s">
        <v>417</v>
      </c>
      <c r="B119" t="s">
        <v>418</v>
      </c>
    </row>
    <row r="120" spans="1:7">
      <c r="B120" t="s">
        <v>419</v>
      </c>
    </row>
    <row r="121" spans="1:7" ht="16.8">
      <c r="B121" t="s">
        <v>420</v>
      </c>
    </row>
    <row r="122" spans="1:7">
      <c r="B122" t="s">
        <v>421</v>
      </c>
    </row>
    <row r="123" spans="1:7" ht="16.8">
      <c r="B123" t="s">
        <v>1539</v>
      </c>
    </row>
    <row r="125" spans="1:7">
      <c r="A125" s="11" t="s">
        <v>422</v>
      </c>
      <c r="B125" t="s">
        <v>423</v>
      </c>
    </row>
    <row r="126" spans="1:7">
      <c r="B126" s="11" t="s">
        <v>424</v>
      </c>
      <c r="C126">
        <v>0</v>
      </c>
      <c r="D126">
        <v>1</v>
      </c>
      <c r="E126">
        <v>2</v>
      </c>
      <c r="F126">
        <v>3</v>
      </c>
      <c r="G126">
        <v>4</v>
      </c>
    </row>
    <row r="127" spans="1:7">
      <c r="B127">
        <v>0</v>
      </c>
      <c r="C127">
        <v>1</v>
      </c>
      <c r="D127" s="13">
        <f t="shared" ref="D127:F131" si="19">BINOMDIST($B127,4,D$126/4,0)</f>
        <v>0.31640625000000006</v>
      </c>
      <c r="E127">
        <f t="shared" si="19"/>
        <v>6.25E-2</v>
      </c>
      <c r="F127" s="13">
        <f t="shared" si="19"/>
        <v>3.9062500000000009E-3</v>
      </c>
      <c r="G127">
        <v>0</v>
      </c>
    </row>
    <row r="128" spans="1:7">
      <c r="B128">
        <v>1</v>
      </c>
      <c r="C128">
        <v>0</v>
      </c>
      <c r="D128" s="13">
        <f t="shared" si="19"/>
        <v>0.42187499999999994</v>
      </c>
      <c r="E128">
        <f t="shared" si="19"/>
        <v>0.24999999999999994</v>
      </c>
      <c r="F128" s="13">
        <f t="shared" si="19"/>
        <v>4.6875000000000007E-2</v>
      </c>
      <c r="G128">
        <v>0</v>
      </c>
    </row>
    <row r="129" spans="1:17">
      <c r="B129">
        <v>2</v>
      </c>
      <c r="C129">
        <v>0</v>
      </c>
      <c r="D129" s="13">
        <f t="shared" si="19"/>
        <v>0.21093750000000003</v>
      </c>
      <c r="E129">
        <f t="shared" si="19"/>
        <v>0.375</v>
      </c>
      <c r="F129" s="13">
        <f t="shared" si="19"/>
        <v>0.21093749999999997</v>
      </c>
      <c r="G129">
        <v>0</v>
      </c>
    </row>
    <row r="130" spans="1:17">
      <c r="B130">
        <v>3</v>
      </c>
      <c r="C130">
        <v>0</v>
      </c>
      <c r="D130" s="13">
        <f t="shared" si="19"/>
        <v>4.6875000000000007E-2</v>
      </c>
      <c r="E130">
        <f t="shared" si="19"/>
        <v>0.25</v>
      </c>
      <c r="F130" s="13">
        <f t="shared" si="19"/>
        <v>0.42187499999999994</v>
      </c>
      <c r="G130">
        <v>0</v>
      </c>
    </row>
    <row r="131" spans="1:17">
      <c r="B131">
        <v>4</v>
      </c>
      <c r="C131">
        <v>0</v>
      </c>
      <c r="D131" s="13">
        <f t="shared" si="19"/>
        <v>3.9062500000000009E-3</v>
      </c>
      <c r="E131">
        <f t="shared" si="19"/>
        <v>6.25E-2</v>
      </c>
      <c r="F131" s="13">
        <f t="shared" si="19"/>
        <v>0.31640625000000006</v>
      </c>
      <c r="G131">
        <v>1</v>
      </c>
    </row>
    <row r="132" spans="1:17">
      <c r="C132" s="11" t="s">
        <v>425</v>
      </c>
      <c r="D132" t="s">
        <v>426</v>
      </c>
      <c r="E132" t="s">
        <v>427</v>
      </c>
      <c r="F132" t="s">
        <v>428</v>
      </c>
      <c r="G132" t="s">
        <v>429</v>
      </c>
      <c r="H132" t="s">
        <v>430</v>
      </c>
      <c r="I132" t="s">
        <v>431</v>
      </c>
      <c r="J132" t="s">
        <v>432</v>
      </c>
      <c r="K132" t="s">
        <v>433</v>
      </c>
      <c r="L132" t="s">
        <v>434</v>
      </c>
      <c r="M132" s="11" t="s">
        <v>435</v>
      </c>
      <c r="N132" s="11" t="s">
        <v>436</v>
      </c>
      <c r="O132" t="s">
        <v>437</v>
      </c>
      <c r="P132" s="11" t="s">
        <v>438</v>
      </c>
      <c r="Q132" s="11" t="s">
        <v>439</v>
      </c>
    </row>
    <row r="133" spans="1:17">
      <c r="B133">
        <v>0</v>
      </c>
      <c r="C133">
        <f>BINOMDIST(B127,4,0.7,0)</f>
        <v>8.100000000000003E-3</v>
      </c>
      <c r="D133" s="13">
        <f t="array" ref="D133:D137">MMULT($C$127:$G$131,C133:C137)</f>
        <v>5.0165625000000019E-2</v>
      </c>
      <c r="E133" s="13">
        <f t="array" ref="E133:E137">MMULT($C$127:$G$131,D133:D137)</f>
        <v>0.10086708984375002</v>
      </c>
      <c r="F133" s="13">
        <f t="array" ref="F133:F137">MMULT($C$127:$G$131,E133:E137)</f>
        <v>0.14622582092285155</v>
      </c>
      <c r="G133" s="13">
        <f t="array" ref="G133:G137">MMULT($C$127:$G$131,F133:F137)</f>
        <v>0.18300871953964232</v>
      </c>
      <c r="H133" s="13">
        <f t="array" ref="H133:H137">MMULT($C$127:$G$131,G133:G137)</f>
        <v>0.21163366047441956</v>
      </c>
      <c r="I133" s="13">
        <f t="array" ref="I133:I137">MMULT($C$127:$G$131,H133:H137)</f>
        <v>0.23349165283134202</v>
      </c>
      <c r="J133" s="13">
        <f t="array" ref="J133:J137">MMULT($C$127:$G$131,I133:I137)</f>
        <v>0.25003114122384279</v>
      </c>
      <c r="K133" s="13">
        <f t="array" ref="K133:K137">MMULT($C$127:$G$131,J133:J137)</f>
        <v>0.26249050640522825</v>
      </c>
      <c r="L133" s="13">
        <f t="array" ref="L133:L137">MMULT($C$127:$G$131,K133:K137)</f>
        <v>0.27185556122610283</v>
      </c>
      <c r="M133" s="13">
        <f t="array" ref="M133:M137">MMULT($C$127:$G$131,L133:L137)</f>
        <v>0.27888705145190401</v>
      </c>
      <c r="N133" s="15">
        <f>M133*1000</f>
        <v>278.88705145190403</v>
      </c>
      <c r="O133">
        <f>B133/4</f>
        <v>0</v>
      </c>
      <c r="P133">
        <f>SUMPRODUCT(M133:M137,O133:O137)</f>
        <v>0.70000000000000007</v>
      </c>
      <c r="Q133">
        <f>SUMPRODUCT(M133:M137,O133:O137^2)-P133^2</f>
        <v>0.20113062143325799</v>
      </c>
    </row>
    <row r="134" spans="1:17">
      <c r="B134">
        <v>1</v>
      </c>
      <c r="C134">
        <f>BINOMDIST(B128,4,0.7,0)</f>
        <v>7.5600000000000056E-2</v>
      </c>
      <c r="D134" s="13">
        <v>0.11733750000000001</v>
      </c>
      <c r="E134" s="13">
        <v>0.11140664062499998</v>
      </c>
      <c r="F134" s="13">
        <v>9.2393591308593717E-2</v>
      </c>
      <c r="G134" s="13">
        <v>7.2615512466430637E-2</v>
      </c>
      <c r="H134" s="13">
        <v>5.5707301461696591E-2</v>
      </c>
      <c r="I134" s="13">
        <v>4.2247652590647312E-2</v>
      </c>
      <c r="J134" s="13">
        <v>3.1860935440321897E-2</v>
      </c>
      <c r="K134" s="13">
        <v>2.3961400530362501E-2</v>
      </c>
      <c r="L134" s="13">
        <v>1.7995687546359773E-2</v>
      </c>
      <c r="M134" s="13">
        <v>1.3506004594455211E-2</v>
      </c>
      <c r="N134" s="15">
        <f t="shared" ref="N134:N136" si="20">M134*1000</f>
        <v>13.506004594455211</v>
      </c>
      <c r="O134">
        <f t="shared" ref="O134:O137" si="21">B134/4</f>
        <v>0.25</v>
      </c>
    </row>
    <row r="135" spans="1:17">
      <c r="B135">
        <v>2</v>
      </c>
      <c r="C135">
        <f>BINOMDIST(B129,4,0.7,0)</f>
        <v>0.2646</v>
      </c>
      <c r="D135" s="13">
        <v>0.20199374999999997</v>
      </c>
      <c r="E135" s="13">
        <v>0.15182753906249996</v>
      </c>
      <c r="F135" s="13">
        <v>0.11390180053710935</v>
      </c>
      <c r="G135" s="13">
        <v>8.5429270362853971E-2</v>
      </c>
      <c r="H135" s="13">
        <v>6.4072226518392533E-2</v>
      </c>
      <c r="I135" s="13">
        <v>4.8054195552505528E-2</v>
      </c>
      <c r="J135" s="13">
        <v>3.6040649070352065E-2</v>
      </c>
      <c r="K135" s="13">
        <v>2.7030487028324009E-2</v>
      </c>
      <c r="L135" s="13">
        <v>2.0272865292389253E-2</v>
      </c>
      <c r="M135" s="13">
        <v>1.5204648971274401E-2</v>
      </c>
      <c r="N135" s="15">
        <f t="shared" si="20"/>
        <v>15.2046489712744</v>
      </c>
      <c r="O135">
        <f t="shared" si="21"/>
        <v>0.5</v>
      </c>
    </row>
    <row r="136" spans="1:17">
      <c r="B136">
        <v>3</v>
      </c>
      <c r="C136">
        <f>BINOMDIST(B130,4,0.7,0)</f>
        <v>0.41159999999999991</v>
      </c>
      <c r="D136" s="13">
        <v>0.24333749999999993</v>
      </c>
      <c r="E136" s="13">
        <v>0.15865664062499996</v>
      </c>
      <c r="F136" s="13">
        <v>0.11011234130859371</v>
      </c>
      <c r="G136" s="13">
        <v>7.9260043716430639E-2</v>
      </c>
      <c r="H136" s="13">
        <v>5.8199000680446603E-2</v>
      </c>
      <c r="I136" s="13">
        <v>4.3182039797678567E-2</v>
      </c>
      <c r="J136" s="13">
        <v>3.221133064295862E-2</v>
      </c>
      <c r="K136" s="13">
        <v>2.409279873135127E-2</v>
      </c>
      <c r="L136" s="13">
        <v>1.8044961871730561E-2</v>
      </c>
      <c r="M136" s="13">
        <v>1.3524482466469256E-2</v>
      </c>
      <c r="N136" s="15">
        <f t="shared" si="20"/>
        <v>13.524482466469257</v>
      </c>
      <c r="O136">
        <f t="shared" si="21"/>
        <v>0.75</v>
      </c>
    </row>
    <row r="137" spans="1:17">
      <c r="B137">
        <v>4</v>
      </c>
      <c r="C137">
        <f>BINOMDIST(B131,4,0.7,0)</f>
        <v>0.24009999999999992</v>
      </c>
      <c r="D137" s="13">
        <v>0.3871656249999999</v>
      </c>
      <c r="E137" s="13">
        <v>0.47724208984374988</v>
      </c>
      <c r="F137" s="13">
        <v>0.53736644592285143</v>
      </c>
      <c r="G137" s="13">
        <v>0.57968645391464224</v>
      </c>
      <c r="H137" s="13">
        <v>0.61038781086504446</v>
      </c>
      <c r="I137" s="13">
        <v>0.63302445922782635</v>
      </c>
      <c r="J137" s="13">
        <v>0.64985594362252441</v>
      </c>
      <c r="K137" s="13">
        <v>0.66242480730473385</v>
      </c>
      <c r="L137" s="13">
        <v>0.67183092406341749</v>
      </c>
      <c r="M137" s="13">
        <v>0.67887781251589707</v>
      </c>
      <c r="N137" s="15">
        <f>M137*1000</f>
        <v>678.87781251589706</v>
      </c>
      <c r="O137">
        <f t="shared" si="21"/>
        <v>1</v>
      </c>
    </row>
    <row r="139" spans="1:17">
      <c r="A139" s="11" t="s">
        <v>440</v>
      </c>
      <c r="C139" t="s">
        <v>437</v>
      </c>
      <c r="D139" t="s">
        <v>441</v>
      </c>
    </row>
    <row r="140" spans="1:17">
      <c r="B140" t="s">
        <v>442</v>
      </c>
      <c r="C140">
        <v>1</v>
      </c>
      <c r="D140" t="s">
        <v>5</v>
      </c>
      <c r="E140" t="s">
        <v>443</v>
      </c>
    </row>
    <row r="141" spans="1:17" ht="16.8">
      <c r="B141" t="s">
        <v>444</v>
      </c>
      <c r="C141">
        <v>0</v>
      </c>
      <c r="D141" t="s">
        <v>6</v>
      </c>
      <c r="E141" t="s">
        <v>445</v>
      </c>
    </row>
    <row r="143" spans="1:17">
      <c r="A143" s="11" t="s">
        <v>446</v>
      </c>
      <c r="D143" t="s">
        <v>447</v>
      </c>
      <c r="J143" t="s">
        <v>448</v>
      </c>
    </row>
    <row r="144" spans="1:17">
      <c r="B144" t="s">
        <v>449</v>
      </c>
      <c r="C144" t="s">
        <v>450</v>
      </c>
      <c r="D144" t="s">
        <v>2</v>
      </c>
      <c r="E144" t="s">
        <v>3</v>
      </c>
      <c r="F144" t="s">
        <v>4</v>
      </c>
      <c r="G144" t="s">
        <v>363</v>
      </c>
      <c r="H144" t="s">
        <v>411</v>
      </c>
      <c r="I144" t="s">
        <v>451</v>
      </c>
      <c r="J144" t="s">
        <v>2</v>
      </c>
      <c r="K144" t="s">
        <v>3</v>
      </c>
      <c r="L144" t="s">
        <v>4</v>
      </c>
      <c r="M144" t="s">
        <v>452</v>
      </c>
      <c r="N144" t="s">
        <v>453</v>
      </c>
    </row>
    <row r="145" spans="1:14">
      <c r="B145">
        <v>0.7</v>
      </c>
      <c r="C145">
        <v>0.3</v>
      </c>
      <c r="D145">
        <f>B145^2</f>
        <v>0.48999999999999994</v>
      </c>
      <c r="E145">
        <f>2*B145*C145</f>
        <v>0.42</v>
      </c>
      <c r="F145">
        <f>C145^2</f>
        <v>0.09</v>
      </c>
      <c r="G145">
        <v>30</v>
      </c>
      <c r="H145">
        <v>20</v>
      </c>
      <c r="I145">
        <f>1-(1-0.5/G145)^H145</f>
        <v>0.28547862520944578</v>
      </c>
      <c r="J145">
        <f>D145+B145*C145*I145</f>
        <v>0.54995051129398353</v>
      </c>
      <c r="K145">
        <f>E145*(1-I145)</f>
        <v>0.30009897741203279</v>
      </c>
      <c r="L145">
        <f>F145+B145*C145*I145</f>
        <v>0.14995051129398362</v>
      </c>
      <c r="M145">
        <f>(E145-K145)/E145</f>
        <v>0.28547862520944572</v>
      </c>
      <c r="N145">
        <f>B145*C145*I145</f>
        <v>5.9950511293983613E-2</v>
      </c>
    </row>
    <row r="147" spans="1:14">
      <c r="A147" s="11" t="s">
        <v>454</v>
      </c>
      <c r="C147" t="s">
        <v>2</v>
      </c>
      <c r="D147" t="s">
        <v>3</v>
      </c>
      <c r="E147" t="s">
        <v>4</v>
      </c>
      <c r="F147" t="s">
        <v>1544</v>
      </c>
    </row>
    <row r="148" spans="1:14">
      <c r="B148" t="s">
        <v>1540</v>
      </c>
      <c r="C148">
        <v>42</v>
      </c>
      <c r="D148">
        <v>76</v>
      </c>
      <c r="E148">
        <v>448</v>
      </c>
      <c r="F148">
        <f>SUM(C148:E148)</f>
        <v>566</v>
      </c>
    </row>
    <row r="149" spans="1:14">
      <c r="B149" t="s">
        <v>1541</v>
      </c>
      <c r="C149" s="13">
        <f>C148/$F$148</f>
        <v>7.4204946996466431E-2</v>
      </c>
      <c r="D149" s="13">
        <f t="shared" ref="D149:E149" si="22">D148/$F$148</f>
        <v>0.13427561837455831</v>
      </c>
      <c r="E149" s="13">
        <f t="shared" si="22"/>
        <v>0.79151943462897523</v>
      </c>
    </row>
    <row r="150" spans="1:14">
      <c r="C150" t="s">
        <v>1542</v>
      </c>
      <c r="D150" t="s">
        <v>1543</v>
      </c>
      <c r="E150" t="s">
        <v>455</v>
      </c>
      <c r="F150" t="s">
        <v>456</v>
      </c>
    </row>
    <row r="151" spans="1:14">
      <c r="C151" s="13">
        <f>(C148+D148/2)/F148</f>
        <v>0.14134275618374559</v>
      </c>
      <c r="D151" s="13">
        <f>1-C151</f>
        <v>0.85865724381625441</v>
      </c>
      <c r="E151" s="13">
        <f>2*C151*D151</f>
        <v>0.24272996291625568</v>
      </c>
      <c r="F151" s="13">
        <f>(E151-D149)/E151</f>
        <v>0.44681069958847736</v>
      </c>
    </row>
    <row r="153" spans="1:14">
      <c r="A153" s="11" t="s">
        <v>457</v>
      </c>
      <c r="C153" t="s">
        <v>5</v>
      </c>
      <c r="D153" t="s">
        <v>6</v>
      </c>
      <c r="E153" t="s">
        <v>2</v>
      </c>
      <c r="F153" t="s">
        <v>3</v>
      </c>
      <c r="G153" t="s">
        <v>4</v>
      </c>
      <c r="H153" t="s">
        <v>458</v>
      </c>
    </row>
    <row r="154" spans="1:14">
      <c r="B154" t="s">
        <v>459</v>
      </c>
      <c r="C154">
        <v>0.1</v>
      </c>
      <c r="D154">
        <f>1-C154</f>
        <v>0.9</v>
      </c>
      <c r="E154">
        <f>C154^2</f>
        <v>1.0000000000000002E-2</v>
      </c>
      <c r="F154" s="11">
        <f>2*C154*D154</f>
        <v>0.18000000000000002</v>
      </c>
      <c r="G154">
        <f>D154^2</f>
        <v>0.81</v>
      </c>
      <c r="H154">
        <v>0.25</v>
      </c>
    </row>
    <row r="155" spans="1:14">
      <c r="B155" t="s">
        <v>460</v>
      </c>
      <c r="C155">
        <v>0.5</v>
      </c>
      <c r="D155">
        <f>1-C155</f>
        <v>0.5</v>
      </c>
      <c r="E155">
        <f>C155^2</f>
        <v>0.25</v>
      </c>
      <c r="F155" s="11">
        <f>2*C155*D155</f>
        <v>0.5</v>
      </c>
      <c r="G155">
        <f>D155^2</f>
        <v>0.25</v>
      </c>
      <c r="H155">
        <f>1-H154</f>
        <v>0.75</v>
      </c>
    </row>
    <row r="156" spans="1:14">
      <c r="B156" t="s">
        <v>461</v>
      </c>
      <c r="C156" s="11">
        <f>SUMPRODUCT(C154:C155,H154:H155)</f>
        <v>0.4</v>
      </c>
      <c r="D156">
        <f>1-C156</f>
        <v>0.6</v>
      </c>
      <c r="E156">
        <f>SUMPRODUCT(E154:E155,H154:H155)</f>
        <v>0.19</v>
      </c>
      <c r="F156" s="16">
        <f>SUMPRODUCT(F154:F155,H154:H155)</f>
        <v>0.42</v>
      </c>
      <c r="G156">
        <f>SUMPRODUCT(G154:G155,H154:H155)</f>
        <v>0.39</v>
      </c>
    </row>
    <row r="157" spans="1:14">
      <c r="B157" t="s">
        <v>462</v>
      </c>
      <c r="E157">
        <f>C156^2</f>
        <v>0.16000000000000003</v>
      </c>
      <c r="F157">
        <f>2*C156*D156</f>
        <v>0.48</v>
      </c>
      <c r="G157">
        <f>D156^2</f>
        <v>0.36</v>
      </c>
    </row>
    <row r="158" spans="1:14">
      <c r="B158" t="s">
        <v>463</v>
      </c>
      <c r="C158" s="16">
        <f>(F157-F156)/F157</f>
        <v>0.125</v>
      </c>
    </row>
    <row r="159" spans="1:14">
      <c r="B159" t="s">
        <v>464</v>
      </c>
      <c r="C159" s="13">
        <f>SUMPRODUCT(H154:H155,C154:C155^2)-C156^2</f>
        <v>2.9999999999999971E-2</v>
      </c>
    </row>
    <row r="160" spans="1:14">
      <c r="B160" t="s">
        <v>465</v>
      </c>
      <c r="C160" s="13">
        <f>C156*D156*C158</f>
        <v>0.03</v>
      </c>
    </row>
    <row r="161" spans="2:5">
      <c r="B161" t="s">
        <v>463</v>
      </c>
      <c r="C161">
        <f>C159/(C156*D156)</f>
        <v>0.12499999999999989</v>
      </c>
    </row>
    <row r="162" spans="2:5">
      <c r="E162" t="s">
        <v>1545</v>
      </c>
    </row>
  </sheetData>
  <phoneticPr fontId="7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"/>
  <sheetViews>
    <sheetView topLeftCell="A94" workbookViewId="0">
      <selection activeCell="G99" sqref="G99"/>
    </sheetView>
  </sheetViews>
  <sheetFormatPr defaultRowHeight="14.4"/>
  <cols>
    <col min="1" max="1" width="9.77734375" customWidth="1"/>
  </cols>
  <sheetData>
    <row r="1" spans="1:5" ht="15">
      <c r="A1" s="17" t="s">
        <v>466</v>
      </c>
      <c r="B1" t="s">
        <v>467</v>
      </c>
      <c r="C1" t="s">
        <v>468</v>
      </c>
      <c r="D1" t="s">
        <v>469</v>
      </c>
    </row>
    <row r="2" spans="1:5">
      <c r="B2">
        <v>1</v>
      </c>
      <c r="C2" s="18">
        <v>0.53699999999999992</v>
      </c>
      <c r="D2" s="13">
        <f>2*C2*(1-C2)</f>
        <v>0.49726200000000004</v>
      </c>
      <c r="E2" s="18"/>
    </row>
    <row r="3" spans="1:5">
      <c r="B3">
        <v>2</v>
      </c>
      <c r="C3" s="18">
        <v>0.43500000000000005</v>
      </c>
      <c r="D3" s="13">
        <f t="shared" ref="D3:D11" si="0">2*C3*(1-C3)</f>
        <v>0.49154999999999999</v>
      </c>
      <c r="E3" s="18"/>
    </row>
    <row r="4" spans="1:5">
      <c r="B4">
        <v>3</v>
      </c>
      <c r="C4" s="18">
        <v>0.11799999999999999</v>
      </c>
      <c r="D4" s="13">
        <f t="shared" si="0"/>
        <v>0.208152</v>
      </c>
      <c r="E4" s="18"/>
    </row>
    <row r="5" spans="1:5">
      <c r="B5">
        <v>4</v>
      </c>
      <c r="C5" s="18">
        <v>0.27900000000000003</v>
      </c>
      <c r="D5" s="13">
        <f t="shared" si="0"/>
        <v>0.40231800000000001</v>
      </c>
      <c r="E5" s="18"/>
    </row>
    <row r="6" spans="1:5">
      <c r="B6">
        <v>5</v>
      </c>
      <c r="C6" s="18">
        <v>0.26500000000000001</v>
      </c>
      <c r="D6" s="13">
        <f t="shared" si="0"/>
        <v>0.38955000000000001</v>
      </c>
      <c r="E6" s="18"/>
    </row>
    <row r="7" spans="1:5">
      <c r="B7">
        <v>6</v>
      </c>
      <c r="C7" s="18">
        <v>0.16100000000000003</v>
      </c>
      <c r="D7" s="13">
        <f t="shared" si="0"/>
        <v>0.27015800000000006</v>
      </c>
      <c r="E7" s="18"/>
    </row>
    <row r="8" spans="1:5">
      <c r="B8">
        <v>7</v>
      </c>
      <c r="C8" s="18">
        <v>0.15700000000000003</v>
      </c>
      <c r="D8" s="13">
        <f t="shared" si="0"/>
        <v>0.26470200000000005</v>
      </c>
      <c r="E8" s="18"/>
    </row>
    <row r="9" spans="1:5">
      <c r="B9">
        <v>8</v>
      </c>
      <c r="C9" s="18">
        <v>8.9999999999999969E-2</v>
      </c>
      <c r="D9" s="13">
        <f t="shared" si="0"/>
        <v>0.16379999999999995</v>
      </c>
      <c r="E9" s="18"/>
    </row>
    <row r="10" spans="1:5">
      <c r="B10">
        <v>9</v>
      </c>
      <c r="C10" s="18">
        <v>0.254</v>
      </c>
      <c r="D10" s="13">
        <f t="shared" si="0"/>
        <v>0.37896800000000003</v>
      </c>
      <c r="E10" s="18"/>
    </row>
    <row r="11" spans="1:5">
      <c r="B11">
        <v>10</v>
      </c>
      <c r="C11" s="18">
        <v>0.64200000000000002</v>
      </c>
      <c r="D11" s="13">
        <f t="shared" si="0"/>
        <v>0.45967199999999997</v>
      </c>
      <c r="E11" s="18"/>
    </row>
    <row r="12" spans="1:5">
      <c r="B12" t="s">
        <v>470</v>
      </c>
      <c r="C12" s="13">
        <f>AVERAGE(C2:C11)</f>
        <v>0.29379999999999995</v>
      </c>
      <c r="D12" s="13">
        <f>AVERAGE(D2:D11)</f>
        <v>0.35261319999999996</v>
      </c>
      <c r="E12" s="13">
        <f>2*C12*(1-C12)</f>
        <v>0.41496311999999996</v>
      </c>
    </row>
    <row r="13" spans="1:5">
      <c r="B13" t="s">
        <v>471</v>
      </c>
      <c r="C13" s="13">
        <f>VARP(C2:C11)</f>
        <v>3.1174960000000008E-2</v>
      </c>
      <c r="D13" s="13"/>
      <c r="E13" s="13"/>
    </row>
    <row r="14" spans="1:5">
      <c r="B14" t="s">
        <v>472</v>
      </c>
      <c r="C14" s="13">
        <f>C13/(C12*(1-C12))</f>
        <v>0.15025412378815742</v>
      </c>
      <c r="E14" s="13">
        <f>(E12-D12)/E12</f>
        <v>0.15025412378815739</v>
      </c>
    </row>
    <row r="15" spans="1:5">
      <c r="B15" t="s">
        <v>473</v>
      </c>
      <c r="C15">
        <v>20</v>
      </c>
    </row>
    <row r="16" spans="1:5">
      <c r="B16" s="6" t="s">
        <v>474</v>
      </c>
      <c r="C16">
        <f>1-(1-C14)^(1/C15)</f>
        <v>8.1078498038782421E-3</v>
      </c>
    </row>
    <row r="17" spans="1:11">
      <c r="B17" s="6" t="s">
        <v>475</v>
      </c>
      <c r="C17">
        <f>1/(2*C16)</f>
        <v>61.668631276424748</v>
      </c>
    </row>
    <row r="19" spans="1:11" ht="15">
      <c r="A19" s="17" t="s">
        <v>476</v>
      </c>
      <c r="B19" t="s">
        <v>477</v>
      </c>
      <c r="C19" t="s">
        <v>478</v>
      </c>
      <c r="D19" t="s">
        <v>479</v>
      </c>
    </row>
    <row r="20" spans="1:11">
      <c r="B20">
        <v>0</v>
      </c>
      <c r="C20">
        <v>1000</v>
      </c>
      <c r="D20">
        <f>1/C20</f>
        <v>1E-3</v>
      </c>
    </row>
    <row r="21" spans="1:11">
      <c r="B21">
        <v>1</v>
      </c>
      <c r="C21">
        <v>1000</v>
      </c>
      <c r="D21">
        <f t="shared" ref="D21:D23" si="1">1/C21</f>
        <v>1E-3</v>
      </c>
    </row>
    <row r="22" spans="1:11">
      <c r="B22">
        <v>2</v>
      </c>
      <c r="C22">
        <v>10</v>
      </c>
      <c r="D22">
        <f t="shared" si="1"/>
        <v>0.1</v>
      </c>
    </row>
    <row r="23" spans="1:11">
      <c r="B23">
        <v>3</v>
      </c>
      <c r="C23">
        <v>1000</v>
      </c>
      <c r="D23">
        <f t="shared" si="1"/>
        <v>1E-3</v>
      </c>
    </row>
    <row r="24" spans="1:11">
      <c r="D24">
        <f>AVERAGE(D20:D23)</f>
        <v>2.5750000000000002E-2</v>
      </c>
    </row>
    <row r="25" spans="1:11">
      <c r="C25" s="11" t="s">
        <v>480</v>
      </c>
      <c r="D25" s="11">
        <f>1/D24</f>
        <v>38.834951456310677</v>
      </c>
    </row>
    <row r="27" spans="1:11" ht="15">
      <c r="A27" s="17" t="s">
        <v>481</v>
      </c>
      <c r="B27" t="s">
        <v>482</v>
      </c>
      <c r="C27" t="s">
        <v>483</v>
      </c>
      <c r="D27" t="s">
        <v>484</v>
      </c>
      <c r="E27" t="s">
        <v>485</v>
      </c>
    </row>
    <row r="28" spans="1:11">
      <c r="B28">
        <v>0.7</v>
      </c>
      <c r="C28">
        <v>0.3</v>
      </c>
      <c r="D28">
        <v>1</v>
      </c>
      <c r="E28">
        <v>10</v>
      </c>
    </row>
    <row r="29" spans="1:11">
      <c r="E29" s="11" t="s">
        <v>486</v>
      </c>
      <c r="F29" s="11"/>
      <c r="G29" s="11" t="s">
        <v>487</v>
      </c>
    </row>
    <row r="30" spans="1:11">
      <c r="B30" t="s">
        <v>488</v>
      </c>
      <c r="C30" s="6" t="s">
        <v>489</v>
      </c>
      <c r="D30" s="11" t="s">
        <v>490</v>
      </c>
      <c r="E30" s="6" t="s">
        <v>482</v>
      </c>
      <c r="F30" s="6" t="s">
        <v>483</v>
      </c>
      <c r="G30" s="6" t="s">
        <v>491</v>
      </c>
      <c r="H30" s="6" t="s">
        <v>492</v>
      </c>
      <c r="I30" s="6" t="s">
        <v>493</v>
      </c>
      <c r="J30" s="11" t="s">
        <v>494</v>
      </c>
      <c r="K30" s="10" t="s">
        <v>495</v>
      </c>
    </row>
    <row r="31" spans="1:11">
      <c r="B31">
        <f>4*D28*E28/(D28+E28)</f>
        <v>3.6363636363636362</v>
      </c>
      <c r="C31">
        <f>1/(2*B31)</f>
        <v>0.13750000000000001</v>
      </c>
      <c r="D31" s="11">
        <f>1-(1-C31)^10</f>
        <v>0.77218042494219152</v>
      </c>
      <c r="E31">
        <f>B28</f>
        <v>0.7</v>
      </c>
      <c r="F31">
        <f>C28</f>
        <v>0.3</v>
      </c>
      <c r="G31">
        <f>B28^2+B28*C28*D31</f>
        <v>0.65215788923786011</v>
      </c>
      <c r="H31">
        <f>2*B28*C28*(1-D31)</f>
        <v>9.568422152427955E-2</v>
      </c>
      <c r="I31">
        <f>C28^2+B28*C28*D31</f>
        <v>0.2521578892378602</v>
      </c>
      <c r="J31" s="11">
        <f>D31*100</f>
        <v>77.218042494219148</v>
      </c>
      <c r="K31" s="11">
        <f>B28*C28*D31</f>
        <v>0.1621578892378602</v>
      </c>
    </row>
    <row r="32" spans="1:11">
      <c r="B32" t="s">
        <v>1546</v>
      </c>
      <c r="C32">
        <f>1/(8*D28)+1/(8*E28)</f>
        <v>0.13750000000000001</v>
      </c>
      <c r="G32">
        <f>E31^2</f>
        <v>0.48999999999999994</v>
      </c>
      <c r="H32">
        <f>2*E31*F31</f>
        <v>0.42</v>
      </c>
      <c r="I32">
        <f>F31^2</f>
        <v>0.09</v>
      </c>
      <c r="J32">
        <f>(H32-H31)/H32*100</f>
        <v>77.218042494219162</v>
      </c>
    </row>
    <row r="34" spans="1:8" ht="15">
      <c r="A34" s="17" t="s">
        <v>496</v>
      </c>
      <c r="B34" s="19"/>
      <c r="C34" s="19"/>
      <c r="D34" s="19"/>
      <c r="E34" s="19"/>
      <c r="F34" s="19"/>
    </row>
    <row r="35" spans="1:8">
      <c r="A35" s="20">
        <v>1</v>
      </c>
      <c r="B35" s="20"/>
      <c r="C35" s="20">
        <v>2</v>
      </c>
      <c r="D35" s="21"/>
      <c r="E35" s="21">
        <v>3</v>
      </c>
      <c r="F35" s="21" t="s">
        <v>497</v>
      </c>
      <c r="G35">
        <v>0.25</v>
      </c>
    </row>
    <row r="36" spans="1:8">
      <c r="A36" s="20"/>
      <c r="B36" s="20"/>
      <c r="C36" s="20"/>
      <c r="D36" s="21"/>
      <c r="E36" s="21"/>
      <c r="F36" s="21" t="s">
        <v>498</v>
      </c>
      <c r="G36">
        <v>0.25</v>
      </c>
    </row>
    <row r="37" spans="1:8">
      <c r="A37" s="20"/>
      <c r="B37" s="20">
        <v>4</v>
      </c>
      <c r="C37" s="21"/>
      <c r="D37" s="21">
        <v>5</v>
      </c>
      <c r="E37" s="21"/>
      <c r="F37" s="21" t="s">
        <v>499</v>
      </c>
      <c r="G37">
        <f>1/32</f>
        <v>3.125E-2</v>
      </c>
    </row>
    <row r="38" spans="1:8">
      <c r="A38" s="20"/>
      <c r="B38" s="20"/>
      <c r="C38" s="20"/>
      <c r="D38" s="21"/>
      <c r="E38" s="21"/>
      <c r="F38" s="21" t="s">
        <v>1547</v>
      </c>
      <c r="G38">
        <f>33/64</f>
        <v>0.515625</v>
      </c>
      <c r="H38">
        <f>(1+G37)/2</f>
        <v>0.515625</v>
      </c>
    </row>
    <row r="39" spans="1:8">
      <c r="A39" s="21"/>
      <c r="B39" s="20">
        <v>6</v>
      </c>
      <c r="C39" s="21"/>
      <c r="D39" s="20">
        <v>7</v>
      </c>
      <c r="E39" s="21"/>
      <c r="F39" s="21"/>
    </row>
    <row r="40" spans="1:8">
      <c r="A40" s="20"/>
      <c r="B40" s="20"/>
      <c r="C40" s="20"/>
      <c r="D40" s="21"/>
      <c r="E40" s="21"/>
      <c r="F40" s="21"/>
    </row>
    <row r="41" spans="1:8">
      <c r="A41" s="20"/>
      <c r="B41" s="20"/>
      <c r="C41" s="20">
        <v>8</v>
      </c>
      <c r="D41" s="21"/>
      <c r="E41" s="21"/>
      <c r="F41" s="21"/>
    </row>
    <row r="42" spans="1:8">
      <c r="A42" s="20"/>
      <c r="B42" s="20"/>
      <c r="C42" s="20"/>
      <c r="D42" s="21"/>
      <c r="E42" s="21"/>
      <c r="F42" s="21"/>
    </row>
    <row r="43" spans="1:8" ht="17.399999999999999">
      <c r="A43" s="17" t="s">
        <v>500</v>
      </c>
      <c r="B43" t="s">
        <v>477</v>
      </c>
      <c r="C43" t="s">
        <v>501</v>
      </c>
      <c r="E43" t="s">
        <v>502</v>
      </c>
      <c r="F43" t="s">
        <v>503</v>
      </c>
      <c r="G43" t="s">
        <v>504</v>
      </c>
    </row>
    <row r="44" spans="1:8">
      <c r="B44">
        <v>0</v>
      </c>
      <c r="C44">
        <v>0</v>
      </c>
      <c r="E44">
        <f>1-F44</f>
        <v>0.9</v>
      </c>
      <c r="F44">
        <v>0.1</v>
      </c>
      <c r="G44">
        <f>F44^2+E44*F44*C44</f>
        <v>1.0000000000000002E-2</v>
      </c>
    </row>
    <row r="45" spans="1:8">
      <c r="B45">
        <v>1</v>
      </c>
      <c r="C45">
        <v>0</v>
      </c>
      <c r="E45">
        <f t="shared" ref="E45:E49" si="2">1-F45</f>
        <v>0.9</v>
      </c>
      <c r="F45">
        <f>F44</f>
        <v>0.1</v>
      </c>
      <c r="G45">
        <f t="shared" ref="G45:G48" si="3">F45^2+E45*F45*C45</f>
        <v>1.0000000000000002E-2</v>
      </c>
      <c r="H45">
        <f>G45/G$44</f>
        <v>1</v>
      </c>
    </row>
    <row r="46" spans="1:8">
      <c r="B46">
        <v>2</v>
      </c>
      <c r="C46">
        <f>(1+6*C45+C44)/8</f>
        <v>0.125</v>
      </c>
      <c r="E46">
        <f>1-F46</f>
        <v>0.9</v>
      </c>
      <c r="F46">
        <f t="shared" ref="F46:F49" si="4">F45</f>
        <v>0.1</v>
      </c>
      <c r="G46">
        <f t="shared" si="3"/>
        <v>2.1250000000000005E-2</v>
      </c>
      <c r="H46">
        <f>G46/G$44</f>
        <v>2.125</v>
      </c>
    </row>
    <row r="47" spans="1:8">
      <c r="B47">
        <v>3</v>
      </c>
      <c r="C47" s="13">
        <f t="shared" ref="C47:C49" si="5">(1+6*C46+C45)/8</f>
        <v>0.21875</v>
      </c>
      <c r="E47">
        <f t="shared" si="2"/>
        <v>0.9</v>
      </c>
      <c r="F47">
        <f t="shared" si="4"/>
        <v>0.1</v>
      </c>
      <c r="G47">
        <f t="shared" si="3"/>
        <v>2.9687500000000006E-2</v>
      </c>
      <c r="H47">
        <f t="shared" ref="H47:H48" si="6">G47/G$44</f>
        <v>2.96875</v>
      </c>
    </row>
    <row r="48" spans="1:8">
      <c r="B48">
        <v>4</v>
      </c>
      <c r="C48" s="13">
        <f t="shared" si="5"/>
        <v>0.3046875</v>
      </c>
      <c r="D48" s="13"/>
      <c r="E48">
        <f t="shared" si="2"/>
        <v>0.9</v>
      </c>
      <c r="F48">
        <f t="shared" si="4"/>
        <v>0.1</v>
      </c>
      <c r="G48">
        <f t="shared" si="3"/>
        <v>3.7421875000000007E-2</v>
      </c>
      <c r="H48">
        <f t="shared" si="6"/>
        <v>3.7421875</v>
      </c>
    </row>
    <row r="49" spans="1:13">
      <c r="B49">
        <v>5</v>
      </c>
      <c r="C49" s="13">
        <f t="shared" si="5"/>
        <v>0.380859375</v>
      </c>
      <c r="E49">
        <f t="shared" si="2"/>
        <v>0.9</v>
      </c>
      <c r="F49">
        <f t="shared" si="4"/>
        <v>0.1</v>
      </c>
      <c r="G49">
        <f>F49^2+E49*F49*C49</f>
        <v>4.4277343750000003E-2</v>
      </c>
      <c r="H49">
        <f>G49/G$44</f>
        <v>4.4277343749999991</v>
      </c>
    </row>
    <row r="50" spans="1:13">
      <c r="B50" s="6" t="s">
        <v>505</v>
      </c>
      <c r="C50" s="13">
        <f>(C49-C48)/(1-C48)</f>
        <v>0.10955056179775281</v>
      </c>
      <c r="D50" s="13"/>
      <c r="E50" s="13"/>
      <c r="F50" s="13"/>
      <c r="G50" s="13"/>
      <c r="H50" s="13"/>
    </row>
    <row r="51" spans="1:13">
      <c r="B51" t="s">
        <v>488</v>
      </c>
      <c r="C51" s="13">
        <f>1/(2*C50)</f>
        <v>4.5641025641025639</v>
      </c>
      <c r="D51" s="13"/>
      <c r="E51" s="13"/>
      <c r="F51" s="13"/>
      <c r="G51" s="13"/>
      <c r="H51" s="13"/>
    </row>
    <row r="52" spans="1:13">
      <c r="C52" s="13"/>
      <c r="D52" s="13"/>
      <c r="E52" s="13"/>
      <c r="F52" s="13"/>
      <c r="G52" s="13"/>
      <c r="H52" s="13"/>
    </row>
    <row r="53" spans="1:13" ht="15">
      <c r="A53" s="17" t="s">
        <v>506</v>
      </c>
      <c r="B53" t="s">
        <v>507</v>
      </c>
      <c r="C53" s="13" t="s">
        <v>508</v>
      </c>
      <c r="D53" s="13" t="s">
        <v>472</v>
      </c>
      <c r="E53" s="13" t="s">
        <v>502</v>
      </c>
      <c r="F53" s="13" t="s">
        <v>503</v>
      </c>
      <c r="G53" s="13" t="s">
        <v>509</v>
      </c>
      <c r="H53" s="13" t="s">
        <v>510</v>
      </c>
      <c r="I53" s="13" t="s">
        <v>511</v>
      </c>
      <c r="J53" s="13" t="s">
        <v>512</v>
      </c>
      <c r="K53" s="13" t="s">
        <v>513</v>
      </c>
      <c r="L53" s="13" t="s">
        <v>1548</v>
      </c>
    </row>
    <row r="54" spans="1:13">
      <c r="B54">
        <v>0.03</v>
      </c>
      <c r="C54">
        <f>1-B54</f>
        <v>0.97</v>
      </c>
      <c r="D54" s="11">
        <f>(1-B54)/(1+B54)</f>
        <v>0.9417475728155339</v>
      </c>
      <c r="E54">
        <v>0.2</v>
      </c>
      <c r="F54">
        <f>1-E54</f>
        <v>0.8</v>
      </c>
      <c r="G54">
        <f>1-E54-F54</f>
        <v>0</v>
      </c>
      <c r="H54">
        <f>2*E54*F54*(1-D54)</f>
        <v>1.8640776699029159E-2</v>
      </c>
      <c r="I54">
        <f>2*E54*G54*(1-D54)</f>
        <v>0</v>
      </c>
      <c r="J54">
        <f>2*F54*G54*(1-D54)</f>
        <v>0</v>
      </c>
      <c r="K54" s="11">
        <f>SUM(H54:J54)</f>
        <v>1.8640776699029159E-2</v>
      </c>
      <c r="L54">
        <f>AVERAGE(K54:K55)</f>
        <v>2.7378640776699072E-2</v>
      </c>
    </row>
    <row r="55" spans="1:13">
      <c r="B55">
        <v>0.03</v>
      </c>
      <c r="C55">
        <f>1-B55</f>
        <v>0.97</v>
      </c>
      <c r="D55">
        <f>(1-B55)/(1+B55)</f>
        <v>0.9417475728155339</v>
      </c>
      <c r="E55">
        <v>0.2</v>
      </c>
      <c r="F55">
        <v>0.3</v>
      </c>
      <c r="G55">
        <f>1-E55-F55</f>
        <v>0.5</v>
      </c>
      <c r="H55">
        <f>2*E55*F55*(1-D55)</f>
        <v>6.9902912621359319E-3</v>
      </c>
      <c r="I55">
        <f>2*E55*G55*(1-D55)</f>
        <v>1.1650485436893222E-2</v>
      </c>
      <c r="J55">
        <f>2*F55*G55*(1-D55)</f>
        <v>1.7475728155339831E-2</v>
      </c>
      <c r="K55" s="11">
        <f>SUM(H55:J55)</f>
        <v>3.6116504854368986E-2</v>
      </c>
    </row>
    <row r="57" spans="1:13" ht="15">
      <c r="A57" s="17" t="s">
        <v>514</v>
      </c>
      <c r="B57" t="s">
        <v>515</v>
      </c>
      <c r="F57" t="s">
        <v>516</v>
      </c>
      <c r="I57" t="s">
        <v>517</v>
      </c>
      <c r="K57" t="s">
        <v>518</v>
      </c>
      <c r="L57" t="s">
        <v>519</v>
      </c>
      <c r="M57" t="s">
        <v>520</v>
      </c>
    </row>
    <row r="58" spans="1:13">
      <c r="B58" t="s">
        <v>2</v>
      </c>
      <c r="C58" t="s">
        <v>162</v>
      </c>
      <c r="D58" t="s">
        <v>521</v>
      </c>
      <c r="E58" t="s">
        <v>522</v>
      </c>
      <c r="F58" t="s">
        <v>2</v>
      </c>
      <c r="G58" t="s">
        <v>162</v>
      </c>
      <c r="H58" t="s">
        <v>521</v>
      </c>
      <c r="I58" t="s">
        <v>5</v>
      </c>
      <c r="J58" t="s">
        <v>6</v>
      </c>
      <c r="K58" t="s">
        <v>455</v>
      </c>
      <c r="L58" t="s">
        <v>456</v>
      </c>
      <c r="M58" t="s">
        <v>523</v>
      </c>
    </row>
    <row r="59" spans="1:13">
      <c r="B59">
        <v>109</v>
      </c>
      <c r="C59">
        <v>12</v>
      </c>
      <c r="D59">
        <v>79</v>
      </c>
      <c r="E59">
        <f>SUM(B59:D59)</f>
        <v>200</v>
      </c>
      <c r="F59">
        <f>B59/$E59</f>
        <v>0.54500000000000004</v>
      </c>
      <c r="G59">
        <f t="shared" ref="G59:H59" si="7">C59/$E59</f>
        <v>0.06</v>
      </c>
      <c r="H59">
        <f t="shared" si="7"/>
        <v>0.39500000000000002</v>
      </c>
      <c r="I59">
        <f>F59+G59/2</f>
        <v>0.57500000000000007</v>
      </c>
      <c r="J59">
        <f>1-I59</f>
        <v>0.42499999999999993</v>
      </c>
      <c r="K59">
        <f>2*I59*J59</f>
        <v>0.48874999999999996</v>
      </c>
      <c r="L59">
        <f>1-G59/K59</f>
        <v>0.87723785166240409</v>
      </c>
      <c r="M59">
        <f>(1-L59)/(1+L59)</f>
        <v>6.5395095367847406E-2</v>
      </c>
    </row>
    <row r="61" spans="1:13" ht="15">
      <c r="A61" s="17" t="s">
        <v>524</v>
      </c>
      <c r="C61" t="s">
        <v>525</v>
      </c>
      <c r="D61" t="s">
        <v>526</v>
      </c>
      <c r="E61" t="s">
        <v>527</v>
      </c>
    </row>
    <row r="62" spans="1:13">
      <c r="B62" s="22" t="s">
        <v>66</v>
      </c>
      <c r="C62">
        <v>100</v>
      </c>
      <c r="D62">
        <v>100</v>
      </c>
      <c r="E62">
        <f>4*C62/(C62/D62+3)</f>
        <v>100</v>
      </c>
    </row>
    <row r="63" spans="1:13">
      <c r="B63" s="22" t="s">
        <v>67</v>
      </c>
      <c r="C63">
        <v>100</v>
      </c>
      <c r="D63">
        <v>10</v>
      </c>
      <c r="E63">
        <f>4*C63/(C63/D63+3)</f>
        <v>30.76923076923077</v>
      </c>
    </row>
    <row r="64" spans="1:13">
      <c r="B64" s="22" t="s">
        <v>71</v>
      </c>
      <c r="C64">
        <v>100</v>
      </c>
      <c r="D64">
        <v>1</v>
      </c>
      <c r="E64">
        <f t="shared" ref="E64:E74" si="8">4*C64/(C64/D64+3)</f>
        <v>3.883495145631068</v>
      </c>
    </row>
    <row r="65" spans="1:6">
      <c r="B65" s="22" t="s">
        <v>528</v>
      </c>
      <c r="C65">
        <v>5</v>
      </c>
      <c r="D65">
        <v>1</v>
      </c>
      <c r="E65">
        <f t="shared" si="8"/>
        <v>2.5</v>
      </c>
    </row>
    <row r="66" spans="1:6">
      <c r="C66">
        <v>5</v>
      </c>
      <c r="D66">
        <v>1</v>
      </c>
      <c r="E66">
        <f t="shared" si="8"/>
        <v>2.5</v>
      </c>
    </row>
    <row r="67" spans="1:6">
      <c r="C67">
        <v>5</v>
      </c>
      <c r="D67">
        <v>1</v>
      </c>
      <c r="E67">
        <f t="shared" si="8"/>
        <v>2.5</v>
      </c>
    </row>
    <row r="68" spans="1:6">
      <c r="C68">
        <v>5</v>
      </c>
      <c r="D68">
        <v>1</v>
      </c>
      <c r="E68">
        <f t="shared" si="8"/>
        <v>2.5</v>
      </c>
    </row>
    <row r="69" spans="1:6">
      <c r="C69">
        <v>10</v>
      </c>
      <c r="D69">
        <v>1</v>
      </c>
      <c r="E69">
        <f t="shared" si="8"/>
        <v>3.0769230769230771</v>
      </c>
    </row>
    <row r="70" spans="1:6">
      <c r="C70">
        <v>10</v>
      </c>
      <c r="D70">
        <v>1</v>
      </c>
      <c r="E70">
        <f t="shared" si="8"/>
        <v>3.0769230769230771</v>
      </c>
    </row>
    <row r="71" spans="1:6">
      <c r="C71">
        <v>10</v>
      </c>
      <c r="D71">
        <v>1</v>
      </c>
      <c r="E71">
        <f t="shared" si="8"/>
        <v>3.0769230769230771</v>
      </c>
    </row>
    <row r="72" spans="1:6">
      <c r="C72">
        <v>10</v>
      </c>
      <c r="D72">
        <v>1</v>
      </c>
      <c r="E72">
        <f t="shared" si="8"/>
        <v>3.0769230769230771</v>
      </c>
    </row>
    <row r="73" spans="1:6">
      <c r="C73">
        <v>20</v>
      </c>
      <c r="D73">
        <v>1</v>
      </c>
      <c r="E73">
        <f t="shared" si="8"/>
        <v>3.4782608695652173</v>
      </c>
    </row>
    <row r="74" spans="1:6">
      <c r="C74">
        <v>20</v>
      </c>
      <c r="D74">
        <v>1</v>
      </c>
      <c r="E74">
        <f t="shared" si="8"/>
        <v>3.4782608695652173</v>
      </c>
    </row>
    <row r="75" spans="1:6">
      <c r="E75">
        <f>SUM(E65:E74)</f>
        <v>29.264214046822744</v>
      </c>
    </row>
    <row r="76" spans="1:6">
      <c r="B76" s="22" t="s">
        <v>529</v>
      </c>
      <c r="E76">
        <v>100</v>
      </c>
    </row>
    <row r="78" spans="1:6" ht="15">
      <c r="A78" s="17" t="s">
        <v>530</v>
      </c>
      <c r="C78" t="s">
        <v>1549</v>
      </c>
      <c r="D78" t="s">
        <v>531</v>
      </c>
      <c r="E78" t="s">
        <v>532</v>
      </c>
      <c r="F78" t="s">
        <v>533</v>
      </c>
    </row>
    <row r="79" spans="1:6">
      <c r="B79" s="22" t="s">
        <v>66</v>
      </c>
      <c r="C79">
        <v>100</v>
      </c>
      <c r="D79">
        <v>0</v>
      </c>
      <c r="E79">
        <v>0</v>
      </c>
      <c r="F79">
        <f>4*C79/(D79+E79+2)</f>
        <v>200</v>
      </c>
    </row>
    <row r="80" spans="1:6">
      <c r="B80" s="22" t="s">
        <v>67</v>
      </c>
      <c r="C80">
        <v>100</v>
      </c>
      <c r="D80">
        <v>1</v>
      </c>
      <c r="E80">
        <v>1</v>
      </c>
      <c r="F80">
        <f t="shared" ref="F80:F82" si="9">4*C80/(D80+E80+2)</f>
        <v>100</v>
      </c>
    </row>
    <row r="81" spans="1:6">
      <c r="B81" s="22" t="s">
        <v>71</v>
      </c>
      <c r="C81">
        <v>100</v>
      </c>
      <c r="D81">
        <v>0</v>
      </c>
      <c r="E81">
        <v>1</v>
      </c>
      <c r="F81">
        <f t="shared" si="9"/>
        <v>133.33333333333334</v>
      </c>
    </row>
    <row r="82" spans="1:6">
      <c r="B82" s="22" t="s">
        <v>528</v>
      </c>
      <c r="C82">
        <v>100</v>
      </c>
      <c r="D82">
        <v>1</v>
      </c>
      <c r="E82">
        <v>1</v>
      </c>
      <c r="F82">
        <f t="shared" si="9"/>
        <v>100</v>
      </c>
    </row>
    <row r="84" spans="1:6" ht="15">
      <c r="A84" s="17" t="s">
        <v>534</v>
      </c>
      <c r="B84" t="s">
        <v>535</v>
      </c>
    </row>
    <row r="86" spans="1:6" ht="15">
      <c r="A86" s="17" t="s">
        <v>1984</v>
      </c>
      <c r="B86" t="s">
        <v>1985</v>
      </c>
      <c r="C86" t="s">
        <v>1986</v>
      </c>
      <c r="D86" t="s">
        <v>1987</v>
      </c>
      <c r="E86" t="s">
        <v>1977</v>
      </c>
    </row>
    <row r="87" spans="1:6">
      <c r="B87" t="s">
        <v>1961</v>
      </c>
      <c r="C87">
        <v>0</v>
      </c>
      <c r="D87">
        <f>(C88-C87)/(1-C87)</f>
        <v>0</v>
      </c>
    </row>
    <row r="88" spans="1:6">
      <c r="B88" t="s">
        <v>1962</v>
      </c>
      <c r="C88">
        <v>0</v>
      </c>
      <c r="D88">
        <f>(C89-C88)/(1-C88)</f>
        <v>0</v>
      </c>
    </row>
    <row r="89" spans="1:6">
      <c r="B89" t="s">
        <v>1963</v>
      </c>
      <c r="C89">
        <v>0</v>
      </c>
      <c r="D89">
        <f>(C90-C89)/(1-C89)</f>
        <v>0.1875</v>
      </c>
      <c r="E89">
        <f>1/(2*D89)</f>
        <v>2.6666666666666665</v>
      </c>
    </row>
    <row r="90" spans="1:6">
      <c r="B90" t="s">
        <v>1964</v>
      </c>
      <c r="C90">
        <f>(3+8*C89+4*C88+C87)/16</f>
        <v>0.1875</v>
      </c>
      <c r="D90">
        <f t="shared" ref="D90:D107" si="10">(C91-C90)/(1-C90)</f>
        <v>0.11538461538461539</v>
      </c>
      <c r="E90">
        <f t="shared" ref="E90:E107" si="11">1/(2*D90)</f>
        <v>4.333333333333333</v>
      </c>
    </row>
    <row r="91" spans="1:6">
      <c r="B91" t="s">
        <v>1965</v>
      </c>
      <c r="C91">
        <f t="shared" ref="C91:C96" si="12">(3+8*C90+4*C89+C88)/16</f>
        <v>0.28125</v>
      </c>
      <c r="D91">
        <f t="shared" si="10"/>
        <v>0.13043478260869565</v>
      </c>
      <c r="E91">
        <f t="shared" si="11"/>
        <v>3.8333333333333335</v>
      </c>
    </row>
    <row r="92" spans="1:6">
      <c r="B92" t="s">
        <v>1966</v>
      </c>
      <c r="C92">
        <f t="shared" si="12"/>
        <v>0.375</v>
      </c>
      <c r="D92">
        <f t="shared" si="10"/>
        <v>0.13125000000000001</v>
      </c>
      <c r="E92">
        <f t="shared" si="11"/>
        <v>3.8095238095238093</v>
      </c>
    </row>
    <row r="93" spans="1:6">
      <c r="B93" t="s">
        <v>1967</v>
      </c>
      <c r="C93">
        <f t="shared" si="12"/>
        <v>0.45703125</v>
      </c>
      <c r="D93">
        <f t="shared" si="10"/>
        <v>0.12949640287769784</v>
      </c>
      <c r="E93">
        <f t="shared" si="11"/>
        <v>3.8611111111111112</v>
      </c>
    </row>
    <row r="94" spans="1:6">
      <c r="B94" t="s">
        <v>1968</v>
      </c>
      <c r="C94">
        <f t="shared" si="12"/>
        <v>0.52734375</v>
      </c>
      <c r="D94">
        <f t="shared" si="10"/>
        <v>0.13016528925619836</v>
      </c>
      <c r="E94">
        <f t="shared" si="11"/>
        <v>3.8412698412698409</v>
      </c>
    </row>
    <row r="95" spans="1:6">
      <c r="B95" t="s">
        <v>1969</v>
      </c>
      <c r="C95">
        <f t="shared" si="12"/>
        <v>0.5888671875</v>
      </c>
      <c r="D95">
        <f t="shared" si="10"/>
        <v>0.13004750593824227</v>
      </c>
      <c r="E95">
        <f t="shared" si="11"/>
        <v>3.8447488584474887</v>
      </c>
    </row>
    <row r="96" spans="1:6">
      <c r="B96" t="s">
        <v>1970</v>
      </c>
      <c r="C96">
        <f t="shared" si="12"/>
        <v>0.642333984375</v>
      </c>
      <c r="D96">
        <f t="shared" si="10"/>
        <v>0.13003412969283276</v>
      </c>
      <c r="E96">
        <f t="shared" si="11"/>
        <v>3.8451443569553807</v>
      </c>
    </row>
    <row r="97" spans="2:5">
      <c r="B97" t="s">
        <v>1971</v>
      </c>
      <c r="C97">
        <f t="shared" ref="C97:C108" si="13">(3+8*C96+4*C95+C94)/16</f>
        <v>0.6888427734375</v>
      </c>
      <c r="D97">
        <f t="shared" si="10"/>
        <v>0.13005100039231071</v>
      </c>
      <c r="E97">
        <f t="shared" si="11"/>
        <v>3.8446455505279036</v>
      </c>
    </row>
    <row r="98" spans="2:5">
      <c r="B98" t="s">
        <v>1972</v>
      </c>
      <c r="C98">
        <f t="shared" si="13"/>
        <v>0.72930908203125</v>
      </c>
      <c r="D98">
        <f t="shared" si="10"/>
        <v>0.13004509582863585</v>
      </c>
      <c r="E98">
        <f t="shared" si="11"/>
        <v>3.8448201127004769</v>
      </c>
    </row>
    <row r="99" spans="2:5">
      <c r="B99" t="s">
        <v>1973</v>
      </c>
      <c r="C99">
        <f t="shared" si="13"/>
        <v>0.7645111083984375</v>
      </c>
      <c r="D99">
        <f t="shared" si="10"/>
        <v>0.13004600531328969</v>
      </c>
      <c r="E99">
        <f t="shared" si="11"/>
        <v>3.8447932237169908</v>
      </c>
    </row>
    <row r="100" spans="2:5">
      <c r="B100" t="s">
        <v>1974</v>
      </c>
      <c r="C100">
        <f t="shared" si="13"/>
        <v>0.795135498046875</v>
      </c>
      <c r="D100">
        <f t="shared" si="10"/>
        <v>0.13004617905556384</v>
      </c>
      <c r="E100">
        <f t="shared" si="11"/>
        <v>3.844788087056128</v>
      </c>
    </row>
    <row r="101" spans="2:5">
      <c r="B101" t="s">
        <v>1975</v>
      </c>
      <c r="C101">
        <f t="shared" si="13"/>
        <v>0.82177734375</v>
      </c>
      <c r="D101">
        <f t="shared" si="10"/>
        <v>0.13004601883561645</v>
      </c>
      <c r="E101">
        <f t="shared" si="11"/>
        <v>3.8447928239312015</v>
      </c>
    </row>
    <row r="102" spans="2:5">
      <c r="B102" t="s">
        <v>1976</v>
      </c>
      <c r="C102">
        <f t="shared" si="13"/>
        <v>0.84495449066162109</v>
      </c>
      <c r="D102">
        <f t="shared" si="10"/>
        <v>0.13004607047737379</v>
      </c>
      <c r="E102">
        <f t="shared" si="11"/>
        <v>3.84479129715029</v>
      </c>
    </row>
    <row r="103" spans="2:5">
      <c r="B103" t="s">
        <v>1978</v>
      </c>
      <c r="C103">
        <f t="shared" si="13"/>
        <v>0.86511754989624023</v>
      </c>
      <c r="D103">
        <f t="shared" si="10"/>
        <v>0.1300460637256115</v>
      </c>
      <c r="E103">
        <f t="shared" si="11"/>
        <v>3.8447914967650734</v>
      </c>
    </row>
    <row r="104" spans="2:5">
      <c r="B104" t="s">
        <v>1979</v>
      </c>
      <c r="C104">
        <f t="shared" si="13"/>
        <v>0.88265848159790039</v>
      </c>
      <c r="D104">
        <f t="shared" si="10"/>
        <v>0.13004606169463148</v>
      </c>
      <c r="E104">
        <f t="shared" si="11"/>
        <v>3.8447915568106805</v>
      </c>
    </row>
    <row r="105" spans="2:5">
      <c r="B105" t="s">
        <v>1980</v>
      </c>
      <c r="C105">
        <f t="shared" si="13"/>
        <v>0.89791828393936157</v>
      </c>
      <c r="D105">
        <f t="shared" si="10"/>
        <v>0.13004606319924655</v>
      </c>
      <c r="E105">
        <f t="shared" si="11"/>
        <v>3.8447915123269709</v>
      </c>
    </row>
    <row r="106" spans="2:5">
      <c r="B106" t="s">
        <v>1981</v>
      </c>
      <c r="C106">
        <f t="shared" si="13"/>
        <v>0.9111936092376709</v>
      </c>
      <c r="D106">
        <f t="shared" si="10"/>
        <v>0.13004606275219407</v>
      </c>
      <c r="E106">
        <f t="shared" si="11"/>
        <v>3.8447915255440077</v>
      </c>
    </row>
    <row r="107" spans="2:5">
      <c r="B107" t="s">
        <v>1982</v>
      </c>
      <c r="C107">
        <f t="shared" si="13"/>
        <v>0.92274253070354462</v>
      </c>
      <c r="D107">
        <f t="shared" si="10"/>
        <v>0.13004606279947714</v>
      </c>
      <c r="E107">
        <f t="shared" si="11"/>
        <v>3.8447915241460913</v>
      </c>
    </row>
    <row r="108" spans="2:5">
      <c r="B108" t="s">
        <v>1983</v>
      </c>
      <c r="C108">
        <f t="shared" si="13"/>
        <v>0.93278956040740013</v>
      </c>
      <c r="E108">
        <f>1/(2*0.13)</f>
        <v>3.8461538461538458</v>
      </c>
    </row>
  </sheetData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4"/>
  <sheetViews>
    <sheetView topLeftCell="A292" workbookViewId="0">
      <selection activeCell="G316" sqref="G316"/>
    </sheetView>
  </sheetViews>
  <sheetFormatPr defaultRowHeight="14.4"/>
  <cols>
    <col min="1" max="1" width="9.77734375" customWidth="1"/>
    <col min="3" max="3" width="12.77734375" bestFit="1" customWidth="1"/>
    <col min="6" max="6" width="9.5546875" bestFit="1" customWidth="1"/>
    <col min="8" max="8" width="9.77734375" customWidth="1"/>
  </cols>
  <sheetData>
    <row r="1" spans="1:5">
      <c r="A1" s="11" t="s">
        <v>536</v>
      </c>
      <c r="B1" t="s">
        <v>537</v>
      </c>
      <c r="C1">
        <v>30</v>
      </c>
    </row>
    <row r="2" spans="1:5">
      <c r="B2" t="s">
        <v>538</v>
      </c>
      <c r="C2">
        <f>1/(2*C1)</f>
        <v>1.6666666666666666E-2</v>
      </c>
    </row>
    <row r="3" spans="1:5">
      <c r="B3" t="s">
        <v>539</v>
      </c>
      <c r="C3" s="11">
        <f>(1-C2)^60</f>
        <v>0.36479231075334423</v>
      </c>
    </row>
    <row r="4" spans="1:5">
      <c r="B4" t="s">
        <v>538</v>
      </c>
      <c r="C4">
        <f>2/(2*C1)</f>
        <v>3.3333333333333333E-2</v>
      </c>
    </row>
    <row r="5" spans="1:5">
      <c r="B5" t="s">
        <v>539</v>
      </c>
      <c r="C5" s="11">
        <f>(1-C4)^60</f>
        <v>0.13079905031934244</v>
      </c>
    </row>
    <row r="7" spans="1:5">
      <c r="A7" s="11" t="s">
        <v>540</v>
      </c>
      <c r="B7" t="s">
        <v>541</v>
      </c>
      <c r="C7" t="s">
        <v>542</v>
      </c>
      <c r="D7" t="s">
        <v>542</v>
      </c>
      <c r="E7" t="s">
        <v>542</v>
      </c>
    </row>
    <row r="8" spans="1:5">
      <c r="B8">
        <v>10</v>
      </c>
      <c r="C8">
        <v>10</v>
      </c>
      <c r="D8">
        <v>20</v>
      </c>
      <c r="E8">
        <v>50</v>
      </c>
    </row>
    <row r="9" spans="1:5">
      <c r="B9" t="s">
        <v>543</v>
      </c>
      <c r="C9" s="13">
        <f>SUM(B11:B19)</f>
        <v>2.8289682539682537</v>
      </c>
      <c r="D9">
        <f>SUM(B11:B29)</f>
        <v>3.5477396571436821</v>
      </c>
      <c r="E9">
        <f>SUM(B11:B59)</f>
        <v>4.4792053383294235</v>
      </c>
    </row>
    <row r="10" spans="1:5">
      <c r="B10" t="s">
        <v>544</v>
      </c>
      <c r="C10" s="13">
        <f>10*C9</f>
        <v>28.289682539682538</v>
      </c>
      <c r="D10">
        <f t="shared" ref="D10:E10" si="0">10*D9</f>
        <v>35.47739657143682</v>
      </c>
      <c r="E10">
        <f t="shared" si="0"/>
        <v>44.792053383294231</v>
      </c>
    </row>
    <row r="11" spans="1:5">
      <c r="A11">
        <v>1</v>
      </c>
      <c r="B11">
        <f>1/A11</f>
        <v>1</v>
      </c>
    </row>
    <row r="12" spans="1:5">
      <c r="A12">
        <f>1+A11</f>
        <v>2</v>
      </c>
      <c r="B12">
        <f t="shared" ref="B12:B39" si="1">1/A12</f>
        <v>0.5</v>
      </c>
    </row>
    <row r="13" spans="1:5">
      <c r="A13">
        <f t="shared" ref="A13:A38" si="2">1+A12</f>
        <v>3</v>
      </c>
      <c r="B13">
        <f t="shared" si="1"/>
        <v>0.33333333333333331</v>
      </c>
    </row>
    <row r="14" spans="1:5">
      <c r="A14">
        <f t="shared" si="2"/>
        <v>4</v>
      </c>
      <c r="B14">
        <f t="shared" si="1"/>
        <v>0.25</v>
      </c>
    </row>
    <row r="15" spans="1:5">
      <c r="A15">
        <f t="shared" si="2"/>
        <v>5</v>
      </c>
      <c r="B15">
        <f t="shared" si="1"/>
        <v>0.2</v>
      </c>
    </row>
    <row r="16" spans="1:5">
      <c r="A16">
        <f t="shared" si="2"/>
        <v>6</v>
      </c>
      <c r="B16">
        <f t="shared" si="1"/>
        <v>0.16666666666666666</v>
      </c>
    </row>
    <row r="17" spans="1:2">
      <c r="A17">
        <f t="shared" si="2"/>
        <v>7</v>
      </c>
      <c r="B17">
        <f t="shared" si="1"/>
        <v>0.14285714285714285</v>
      </c>
    </row>
    <row r="18" spans="1:2">
      <c r="A18">
        <f t="shared" si="2"/>
        <v>8</v>
      </c>
      <c r="B18">
        <f t="shared" si="1"/>
        <v>0.125</v>
      </c>
    </row>
    <row r="19" spans="1:2">
      <c r="A19">
        <f t="shared" si="2"/>
        <v>9</v>
      </c>
      <c r="B19">
        <f t="shared" si="1"/>
        <v>0.1111111111111111</v>
      </c>
    </row>
    <row r="20" spans="1:2">
      <c r="A20">
        <f t="shared" si="2"/>
        <v>10</v>
      </c>
      <c r="B20">
        <f t="shared" si="1"/>
        <v>0.1</v>
      </c>
    </row>
    <row r="21" spans="1:2">
      <c r="A21">
        <f t="shared" si="2"/>
        <v>11</v>
      </c>
      <c r="B21">
        <f t="shared" si="1"/>
        <v>9.0909090909090912E-2</v>
      </c>
    </row>
    <row r="22" spans="1:2">
      <c r="A22">
        <f t="shared" si="2"/>
        <v>12</v>
      </c>
      <c r="B22">
        <f t="shared" si="1"/>
        <v>8.3333333333333329E-2</v>
      </c>
    </row>
    <row r="23" spans="1:2">
      <c r="A23">
        <f t="shared" si="2"/>
        <v>13</v>
      </c>
      <c r="B23">
        <f t="shared" si="1"/>
        <v>7.6923076923076927E-2</v>
      </c>
    </row>
    <row r="24" spans="1:2">
      <c r="A24">
        <f t="shared" si="2"/>
        <v>14</v>
      </c>
      <c r="B24">
        <f t="shared" si="1"/>
        <v>7.1428571428571425E-2</v>
      </c>
    </row>
    <row r="25" spans="1:2">
      <c r="A25">
        <f t="shared" si="2"/>
        <v>15</v>
      </c>
      <c r="B25">
        <f t="shared" si="1"/>
        <v>6.6666666666666666E-2</v>
      </c>
    </row>
    <row r="26" spans="1:2">
      <c r="A26">
        <f t="shared" si="2"/>
        <v>16</v>
      </c>
      <c r="B26">
        <f t="shared" si="1"/>
        <v>6.25E-2</v>
      </c>
    </row>
    <row r="27" spans="1:2">
      <c r="A27">
        <f t="shared" si="2"/>
        <v>17</v>
      </c>
      <c r="B27">
        <f t="shared" si="1"/>
        <v>5.8823529411764705E-2</v>
      </c>
    </row>
    <row r="28" spans="1:2">
      <c r="A28">
        <f t="shared" si="2"/>
        <v>18</v>
      </c>
      <c r="B28">
        <f t="shared" si="1"/>
        <v>5.5555555555555552E-2</v>
      </c>
    </row>
    <row r="29" spans="1:2">
      <c r="A29">
        <f t="shared" si="2"/>
        <v>19</v>
      </c>
      <c r="B29">
        <f t="shared" si="1"/>
        <v>5.2631578947368418E-2</v>
      </c>
    </row>
    <row r="30" spans="1:2">
      <c r="A30">
        <f t="shared" si="2"/>
        <v>20</v>
      </c>
      <c r="B30">
        <f t="shared" si="1"/>
        <v>0.05</v>
      </c>
    </row>
    <row r="31" spans="1:2">
      <c r="A31">
        <f t="shared" si="2"/>
        <v>21</v>
      </c>
      <c r="B31">
        <f t="shared" si="1"/>
        <v>4.7619047619047616E-2</v>
      </c>
    </row>
    <row r="32" spans="1:2">
      <c r="A32">
        <f t="shared" si="2"/>
        <v>22</v>
      </c>
      <c r="B32">
        <f t="shared" si="1"/>
        <v>4.5454545454545456E-2</v>
      </c>
    </row>
    <row r="33" spans="1:2">
      <c r="A33">
        <f t="shared" si="2"/>
        <v>23</v>
      </c>
      <c r="B33">
        <f t="shared" si="1"/>
        <v>4.3478260869565216E-2</v>
      </c>
    </row>
    <row r="34" spans="1:2">
      <c r="A34">
        <f t="shared" si="2"/>
        <v>24</v>
      </c>
      <c r="B34">
        <f t="shared" si="1"/>
        <v>4.1666666666666664E-2</v>
      </c>
    </row>
    <row r="35" spans="1:2">
      <c r="A35">
        <f>1+A34</f>
        <v>25</v>
      </c>
      <c r="B35">
        <f t="shared" si="1"/>
        <v>0.04</v>
      </c>
    </row>
    <row r="36" spans="1:2">
      <c r="A36">
        <f t="shared" si="2"/>
        <v>26</v>
      </c>
      <c r="B36">
        <f t="shared" si="1"/>
        <v>3.8461538461538464E-2</v>
      </c>
    </row>
    <row r="37" spans="1:2">
      <c r="A37">
        <f t="shared" si="2"/>
        <v>27</v>
      </c>
      <c r="B37">
        <f t="shared" si="1"/>
        <v>3.7037037037037035E-2</v>
      </c>
    </row>
    <row r="38" spans="1:2">
      <c r="A38">
        <f t="shared" si="2"/>
        <v>28</v>
      </c>
      <c r="B38">
        <f t="shared" si="1"/>
        <v>3.5714285714285712E-2</v>
      </c>
    </row>
    <row r="39" spans="1:2">
      <c r="A39">
        <f>1+A38</f>
        <v>29</v>
      </c>
      <c r="B39">
        <f t="shared" si="1"/>
        <v>3.4482758620689655E-2</v>
      </c>
    </row>
    <row r="40" spans="1:2">
      <c r="A40">
        <f t="shared" ref="A40:A59" si="3">1+A39</f>
        <v>30</v>
      </c>
      <c r="B40">
        <f t="shared" ref="B40:B59" si="4">1/A40</f>
        <v>3.3333333333333333E-2</v>
      </c>
    </row>
    <row r="41" spans="1:2">
      <c r="A41">
        <f t="shared" si="3"/>
        <v>31</v>
      </c>
      <c r="B41">
        <f t="shared" si="4"/>
        <v>3.2258064516129031E-2</v>
      </c>
    </row>
    <row r="42" spans="1:2">
      <c r="A42">
        <f t="shared" si="3"/>
        <v>32</v>
      </c>
      <c r="B42">
        <f t="shared" si="4"/>
        <v>3.125E-2</v>
      </c>
    </row>
    <row r="43" spans="1:2">
      <c r="A43">
        <f t="shared" si="3"/>
        <v>33</v>
      </c>
      <c r="B43">
        <f t="shared" si="4"/>
        <v>3.0303030303030304E-2</v>
      </c>
    </row>
    <row r="44" spans="1:2">
      <c r="A44">
        <f t="shared" si="3"/>
        <v>34</v>
      </c>
      <c r="B44">
        <f t="shared" si="4"/>
        <v>2.9411764705882353E-2</v>
      </c>
    </row>
    <row r="45" spans="1:2">
      <c r="A45">
        <f t="shared" si="3"/>
        <v>35</v>
      </c>
      <c r="B45">
        <f t="shared" si="4"/>
        <v>2.8571428571428571E-2</v>
      </c>
    </row>
    <row r="46" spans="1:2">
      <c r="A46">
        <f t="shared" si="3"/>
        <v>36</v>
      </c>
      <c r="B46">
        <f t="shared" si="4"/>
        <v>2.7777777777777776E-2</v>
      </c>
    </row>
    <row r="47" spans="1:2">
      <c r="A47">
        <f t="shared" si="3"/>
        <v>37</v>
      </c>
      <c r="B47">
        <f t="shared" si="4"/>
        <v>2.7027027027027029E-2</v>
      </c>
    </row>
    <row r="48" spans="1:2">
      <c r="A48">
        <f t="shared" si="3"/>
        <v>38</v>
      </c>
      <c r="B48">
        <f t="shared" si="4"/>
        <v>2.6315789473684209E-2</v>
      </c>
    </row>
    <row r="49" spans="1:3">
      <c r="A49">
        <f t="shared" si="3"/>
        <v>39</v>
      </c>
      <c r="B49">
        <f t="shared" si="4"/>
        <v>2.564102564102564E-2</v>
      </c>
    </row>
    <row r="50" spans="1:3">
      <c r="A50">
        <f t="shared" si="3"/>
        <v>40</v>
      </c>
      <c r="B50">
        <f t="shared" si="4"/>
        <v>2.5000000000000001E-2</v>
      </c>
    </row>
    <row r="51" spans="1:3">
      <c r="A51">
        <f t="shared" si="3"/>
        <v>41</v>
      </c>
      <c r="B51">
        <f t="shared" si="4"/>
        <v>2.4390243902439025E-2</v>
      </c>
    </row>
    <row r="52" spans="1:3">
      <c r="A52">
        <f t="shared" si="3"/>
        <v>42</v>
      </c>
      <c r="B52">
        <f t="shared" si="4"/>
        <v>2.3809523809523808E-2</v>
      </c>
    </row>
    <row r="53" spans="1:3">
      <c r="A53">
        <f t="shared" si="3"/>
        <v>43</v>
      </c>
      <c r="B53">
        <f t="shared" si="4"/>
        <v>2.3255813953488372E-2</v>
      </c>
    </row>
    <row r="54" spans="1:3">
      <c r="A54">
        <f t="shared" si="3"/>
        <v>44</v>
      </c>
      <c r="B54">
        <f t="shared" si="4"/>
        <v>2.2727272727272728E-2</v>
      </c>
    </row>
    <row r="55" spans="1:3">
      <c r="A55">
        <f t="shared" si="3"/>
        <v>45</v>
      </c>
      <c r="B55">
        <f t="shared" si="4"/>
        <v>2.2222222222222223E-2</v>
      </c>
    </row>
    <row r="56" spans="1:3">
      <c r="A56">
        <f t="shared" si="3"/>
        <v>46</v>
      </c>
      <c r="B56">
        <f t="shared" si="4"/>
        <v>2.1739130434782608E-2</v>
      </c>
    </row>
    <row r="57" spans="1:3">
      <c r="A57">
        <f t="shared" si="3"/>
        <v>47</v>
      </c>
      <c r="B57">
        <f t="shared" si="4"/>
        <v>2.1276595744680851E-2</v>
      </c>
    </row>
    <row r="58" spans="1:3">
      <c r="A58">
        <f t="shared" si="3"/>
        <v>48</v>
      </c>
      <c r="B58">
        <f t="shared" si="4"/>
        <v>2.0833333333333332E-2</v>
      </c>
    </row>
    <row r="59" spans="1:3">
      <c r="A59">
        <f t="shared" si="3"/>
        <v>49</v>
      </c>
      <c r="B59">
        <f t="shared" si="4"/>
        <v>2.0408163265306121E-2</v>
      </c>
    </row>
    <row r="61" spans="1:3">
      <c r="A61" s="11" t="s">
        <v>545</v>
      </c>
      <c r="B61" t="s">
        <v>546</v>
      </c>
    </row>
    <row r="63" spans="1:3">
      <c r="A63" s="11" t="s">
        <v>547</v>
      </c>
      <c r="B63" t="s">
        <v>548</v>
      </c>
      <c r="C63" t="s">
        <v>549</v>
      </c>
    </row>
    <row r="64" spans="1:3">
      <c r="B64">
        <f>1/C64</f>
        <v>0.05</v>
      </c>
      <c r="C64">
        <v>20</v>
      </c>
    </row>
    <row r="65" spans="1:5">
      <c r="A65" t="s">
        <v>411</v>
      </c>
      <c r="B65" t="s">
        <v>550</v>
      </c>
      <c r="C65" t="s">
        <v>551</v>
      </c>
      <c r="D65" t="s">
        <v>552</v>
      </c>
      <c r="E65" t="s">
        <v>382</v>
      </c>
    </row>
    <row r="66" spans="1:5">
      <c r="A66">
        <v>1</v>
      </c>
      <c r="B66">
        <f>$B$64*(1-$B$64)^(A66-1)</f>
        <v>0.05</v>
      </c>
      <c r="C66">
        <f>1/B66</f>
        <v>20</v>
      </c>
      <c r="D66">
        <f>1/B66*(1/B66-1)</f>
        <v>380</v>
      </c>
      <c r="E66">
        <f>SQRT(D66)</f>
        <v>19.493588689617926</v>
      </c>
    </row>
    <row r="67" spans="1:5">
      <c r="A67">
        <f>A66+1</f>
        <v>2</v>
      </c>
      <c r="B67">
        <f t="shared" ref="B67:B130" si="5">$B$64*(1-$B$64)^(A67-1)</f>
        <v>4.7500000000000001E-2</v>
      </c>
    </row>
    <row r="68" spans="1:5">
      <c r="A68">
        <f t="shared" ref="A68:A131" si="6">A67+1</f>
        <v>3</v>
      </c>
      <c r="B68">
        <f t="shared" si="5"/>
        <v>4.5124999999999998E-2</v>
      </c>
    </row>
    <row r="69" spans="1:5">
      <c r="A69">
        <f t="shared" si="6"/>
        <v>4</v>
      </c>
      <c r="B69">
        <f t="shared" si="5"/>
        <v>4.2868749999999997E-2</v>
      </c>
    </row>
    <row r="70" spans="1:5">
      <c r="A70">
        <f t="shared" si="6"/>
        <v>5</v>
      </c>
      <c r="B70">
        <f t="shared" si="5"/>
        <v>4.0725312499999999E-2</v>
      </c>
    </row>
    <row r="71" spans="1:5">
      <c r="A71">
        <f t="shared" si="6"/>
        <v>6</v>
      </c>
      <c r="B71">
        <f t="shared" si="5"/>
        <v>3.8689046875000001E-2</v>
      </c>
    </row>
    <row r="72" spans="1:5">
      <c r="A72">
        <f t="shared" si="6"/>
        <v>7</v>
      </c>
      <c r="B72">
        <f t="shared" si="5"/>
        <v>3.6754594531249997E-2</v>
      </c>
    </row>
    <row r="73" spans="1:5">
      <c r="A73">
        <f t="shared" si="6"/>
        <v>8</v>
      </c>
      <c r="B73">
        <f t="shared" si="5"/>
        <v>3.4916864804687496E-2</v>
      </c>
    </row>
    <row r="74" spans="1:5">
      <c r="A74">
        <f t="shared" si="6"/>
        <v>9</v>
      </c>
      <c r="B74">
        <f t="shared" si="5"/>
        <v>3.3171021564453125E-2</v>
      </c>
    </row>
    <row r="75" spans="1:5">
      <c r="A75">
        <f t="shared" si="6"/>
        <v>10</v>
      </c>
      <c r="B75">
        <f t="shared" si="5"/>
        <v>3.1512470486230466E-2</v>
      </c>
    </row>
    <row r="76" spans="1:5">
      <c r="A76">
        <f t="shared" si="6"/>
        <v>11</v>
      </c>
      <c r="B76">
        <f t="shared" si="5"/>
        <v>2.9936846961918947E-2</v>
      </c>
    </row>
    <row r="77" spans="1:5">
      <c r="A77">
        <f t="shared" si="6"/>
        <v>12</v>
      </c>
      <c r="B77">
        <f t="shared" si="5"/>
        <v>2.8440004613822997E-2</v>
      </c>
    </row>
    <row r="78" spans="1:5">
      <c r="A78">
        <f t="shared" si="6"/>
        <v>13</v>
      </c>
      <c r="B78">
        <f t="shared" si="5"/>
        <v>2.7018004383131844E-2</v>
      </c>
    </row>
    <row r="79" spans="1:5">
      <c r="A79">
        <f t="shared" si="6"/>
        <v>14</v>
      </c>
      <c r="B79">
        <f t="shared" si="5"/>
        <v>2.5667104163975253E-2</v>
      </c>
    </row>
    <row r="80" spans="1:5">
      <c r="A80">
        <f t="shared" si="6"/>
        <v>15</v>
      </c>
      <c r="B80">
        <f t="shared" si="5"/>
        <v>2.4383748955776489E-2</v>
      </c>
    </row>
    <row r="81" spans="1:2">
      <c r="A81">
        <f t="shared" si="6"/>
        <v>16</v>
      </c>
      <c r="B81">
        <f t="shared" si="5"/>
        <v>2.3164561507987666E-2</v>
      </c>
    </row>
    <row r="82" spans="1:2">
      <c r="A82">
        <f t="shared" si="6"/>
        <v>17</v>
      </c>
      <c r="B82">
        <f t="shared" si="5"/>
        <v>2.2006333432588284E-2</v>
      </c>
    </row>
    <row r="83" spans="1:2">
      <c r="A83">
        <f t="shared" si="6"/>
        <v>18</v>
      </c>
      <c r="B83">
        <f t="shared" si="5"/>
        <v>2.0906016760958868E-2</v>
      </c>
    </row>
    <row r="84" spans="1:2">
      <c r="A84">
        <f t="shared" si="6"/>
        <v>19</v>
      </c>
      <c r="B84">
        <f t="shared" si="5"/>
        <v>1.9860715922910926E-2</v>
      </c>
    </row>
    <row r="85" spans="1:2">
      <c r="A85">
        <f t="shared" si="6"/>
        <v>20</v>
      </c>
      <c r="B85">
        <f t="shared" si="5"/>
        <v>1.8867680126765377E-2</v>
      </c>
    </row>
    <row r="86" spans="1:2">
      <c r="A86">
        <f t="shared" si="6"/>
        <v>21</v>
      </c>
      <c r="B86">
        <f t="shared" si="5"/>
        <v>1.7924296120427109E-2</v>
      </c>
    </row>
    <row r="87" spans="1:2">
      <c r="A87">
        <f t="shared" si="6"/>
        <v>22</v>
      </c>
      <c r="B87">
        <f t="shared" si="5"/>
        <v>1.7028081314405755E-2</v>
      </c>
    </row>
    <row r="88" spans="1:2">
      <c r="A88">
        <f t="shared" si="6"/>
        <v>23</v>
      </c>
      <c r="B88">
        <f t="shared" si="5"/>
        <v>1.6176677248685465E-2</v>
      </c>
    </row>
    <row r="89" spans="1:2">
      <c r="A89">
        <f t="shared" si="6"/>
        <v>24</v>
      </c>
      <c r="B89">
        <f t="shared" si="5"/>
        <v>1.5367843386251193E-2</v>
      </c>
    </row>
    <row r="90" spans="1:2">
      <c r="A90">
        <f t="shared" si="6"/>
        <v>25</v>
      </c>
      <c r="B90">
        <f t="shared" si="5"/>
        <v>1.4599451216938633E-2</v>
      </c>
    </row>
    <row r="91" spans="1:2">
      <c r="A91">
        <f t="shared" si="6"/>
        <v>26</v>
      </c>
      <c r="B91">
        <f t="shared" si="5"/>
        <v>1.3869478656091699E-2</v>
      </c>
    </row>
    <row r="92" spans="1:2">
      <c r="A92">
        <f t="shared" si="6"/>
        <v>27</v>
      </c>
      <c r="B92">
        <f t="shared" si="5"/>
        <v>1.3176004723287116E-2</v>
      </c>
    </row>
    <row r="93" spans="1:2">
      <c r="A93">
        <f t="shared" si="6"/>
        <v>28</v>
      </c>
      <c r="B93">
        <f t="shared" si="5"/>
        <v>1.2517204487122761E-2</v>
      </c>
    </row>
    <row r="94" spans="1:2">
      <c r="A94">
        <f t="shared" si="6"/>
        <v>29</v>
      </c>
      <c r="B94">
        <f t="shared" si="5"/>
        <v>1.1891344262766621E-2</v>
      </c>
    </row>
    <row r="95" spans="1:2">
      <c r="A95">
        <f t="shared" si="6"/>
        <v>30</v>
      </c>
      <c r="B95">
        <f t="shared" si="5"/>
        <v>1.129677704962829E-2</v>
      </c>
    </row>
    <row r="96" spans="1:2">
      <c r="A96">
        <f t="shared" si="6"/>
        <v>31</v>
      </c>
      <c r="B96">
        <f t="shared" si="5"/>
        <v>1.0731938197146875E-2</v>
      </c>
    </row>
    <row r="97" spans="1:4">
      <c r="A97">
        <f t="shared" si="6"/>
        <v>32</v>
      </c>
      <c r="B97">
        <f t="shared" si="5"/>
        <v>1.0195341287289533E-2</v>
      </c>
      <c r="D97" t="s">
        <v>1550</v>
      </c>
    </row>
    <row r="98" spans="1:4">
      <c r="A98">
        <f t="shared" si="6"/>
        <v>33</v>
      </c>
      <c r="B98">
        <f t="shared" si="5"/>
        <v>9.6855742229250558E-3</v>
      </c>
    </row>
    <row r="99" spans="1:4">
      <c r="A99">
        <f t="shared" si="6"/>
        <v>34</v>
      </c>
      <c r="B99">
        <f t="shared" si="5"/>
        <v>9.2012955117788033E-3</v>
      </c>
    </row>
    <row r="100" spans="1:4">
      <c r="A100">
        <f t="shared" si="6"/>
        <v>35</v>
      </c>
      <c r="B100">
        <f t="shared" si="5"/>
        <v>8.7412307361898634E-3</v>
      </c>
    </row>
    <row r="101" spans="1:4">
      <c r="A101">
        <f t="shared" si="6"/>
        <v>36</v>
      </c>
      <c r="B101">
        <f t="shared" si="5"/>
        <v>8.3041691993803683E-3</v>
      </c>
    </row>
    <row r="102" spans="1:4">
      <c r="A102">
        <f t="shared" si="6"/>
        <v>37</v>
      </c>
      <c r="B102">
        <f t="shared" si="5"/>
        <v>7.8889607394113503E-3</v>
      </c>
    </row>
    <row r="103" spans="1:4">
      <c r="A103">
        <f t="shared" si="6"/>
        <v>38</v>
      </c>
      <c r="B103">
        <f t="shared" si="5"/>
        <v>7.4945127024407844E-3</v>
      </c>
    </row>
    <row r="104" spans="1:4">
      <c r="A104">
        <f t="shared" si="6"/>
        <v>39</v>
      </c>
      <c r="B104">
        <f t="shared" si="5"/>
        <v>7.1197870673187433E-3</v>
      </c>
    </row>
    <row r="105" spans="1:4">
      <c r="A105">
        <f t="shared" si="6"/>
        <v>40</v>
      </c>
      <c r="B105">
        <f t="shared" si="5"/>
        <v>6.7637977139528077E-3</v>
      </c>
    </row>
    <row r="106" spans="1:4">
      <c r="A106">
        <f t="shared" si="6"/>
        <v>41</v>
      </c>
      <c r="B106">
        <f t="shared" si="5"/>
        <v>6.4256078282551674E-3</v>
      </c>
    </row>
    <row r="107" spans="1:4">
      <c r="A107">
        <f t="shared" si="6"/>
        <v>42</v>
      </c>
      <c r="B107">
        <f t="shared" si="5"/>
        <v>6.1043274368424083E-3</v>
      </c>
    </row>
    <row r="108" spans="1:4">
      <c r="A108">
        <f t="shared" si="6"/>
        <v>43</v>
      </c>
      <c r="B108">
        <f t="shared" si="5"/>
        <v>5.799111065000289E-3</v>
      </c>
    </row>
    <row r="109" spans="1:4">
      <c r="A109">
        <f t="shared" si="6"/>
        <v>44</v>
      </c>
      <c r="B109">
        <f t="shared" si="5"/>
        <v>5.5091555117502732E-3</v>
      </c>
    </row>
    <row r="110" spans="1:4">
      <c r="A110">
        <f t="shared" si="6"/>
        <v>45</v>
      </c>
      <c r="B110">
        <f t="shared" si="5"/>
        <v>5.2336977361627591E-3</v>
      </c>
    </row>
    <row r="111" spans="1:4">
      <c r="A111">
        <f t="shared" si="6"/>
        <v>46</v>
      </c>
      <c r="B111">
        <f t="shared" si="5"/>
        <v>4.9720128493546218E-3</v>
      </c>
    </row>
    <row r="112" spans="1:4">
      <c r="A112">
        <f t="shared" si="6"/>
        <v>47</v>
      </c>
      <c r="B112">
        <f t="shared" si="5"/>
        <v>4.7234122068868902E-3</v>
      </c>
    </row>
    <row r="113" spans="1:2">
      <c r="A113">
        <f t="shared" si="6"/>
        <v>48</v>
      </c>
      <c r="B113">
        <f t="shared" si="5"/>
        <v>4.4872415965425466E-3</v>
      </c>
    </row>
    <row r="114" spans="1:2">
      <c r="A114">
        <f t="shared" si="6"/>
        <v>49</v>
      </c>
      <c r="B114">
        <f t="shared" si="5"/>
        <v>4.2628795167154185E-3</v>
      </c>
    </row>
    <row r="115" spans="1:2">
      <c r="A115">
        <f t="shared" si="6"/>
        <v>50</v>
      </c>
      <c r="B115">
        <f t="shared" si="5"/>
        <v>4.049735540879648E-3</v>
      </c>
    </row>
    <row r="116" spans="1:2">
      <c r="A116">
        <f t="shared" si="6"/>
        <v>51</v>
      </c>
      <c r="B116">
        <f t="shared" si="5"/>
        <v>3.8472487638356655E-3</v>
      </c>
    </row>
    <row r="117" spans="1:2">
      <c r="A117">
        <f t="shared" si="6"/>
        <v>52</v>
      </c>
      <c r="B117">
        <f t="shared" si="5"/>
        <v>3.6548863256438816E-3</v>
      </c>
    </row>
    <row r="118" spans="1:2">
      <c r="A118">
        <f t="shared" si="6"/>
        <v>53</v>
      </c>
      <c r="B118">
        <f t="shared" si="5"/>
        <v>3.4721420093616878E-3</v>
      </c>
    </row>
    <row r="119" spans="1:2">
      <c r="A119">
        <f t="shared" si="6"/>
        <v>54</v>
      </c>
      <c r="B119">
        <f t="shared" si="5"/>
        <v>3.2985349088936037E-3</v>
      </c>
    </row>
    <row r="120" spans="1:2">
      <c r="A120">
        <f t="shared" si="6"/>
        <v>55</v>
      </c>
      <c r="B120">
        <f t="shared" si="5"/>
        <v>3.1336081634489228E-3</v>
      </c>
    </row>
    <row r="121" spans="1:2">
      <c r="A121">
        <f t="shared" si="6"/>
        <v>56</v>
      </c>
      <c r="B121">
        <f t="shared" si="5"/>
        <v>2.9769277552764775E-3</v>
      </c>
    </row>
    <row r="122" spans="1:2">
      <c r="A122">
        <f t="shared" si="6"/>
        <v>57</v>
      </c>
      <c r="B122">
        <f t="shared" si="5"/>
        <v>2.8280813675126536E-3</v>
      </c>
    </row>
    <row r="123" spans="1:2">
      <c r="A123">
        <f t="shared" si="6"/>
        <v>58</v>
      </c>
      <c r="B123">
        <f t="shared" si="5"/>
        <v>2.6866772991370204E-3</v>
      </c>
    </row>
    <row r="124" spans="1:2">
      <c r="A124">
        <f t="shared" si="6"/>
        <v>59</v>
      </c>
      <c r="B124">
        <f t="shared" si="5"/>
        <v>2.5523434341801696E-3</v>
      </c>
    </row>
    <row r="125" spans="1:2">
      <c r="A125">
        <f t="shared" si="6"/>
        <v>60</v>
      </c>
      <c r="B125">
        <f t="shared" si="5"/>
        <v>2.4247262624711614E-3</v>
      </c>
    </row>
    <row r="126" spans="1:2">
      <c r="A126">
        <f t="shared" si="6"/>
        <v>61</v>
      </c>
      <c r="B126">
        <f t="shared" si="5"/>
        <v>2.3034899493476024E-3</v>
      </c>
    </row>
    <row r="127" spans="1:2">
      <c r="A127">
        <f t="shared" si="6"/>
        <v>62</v>
      </c>
      <c r="B127">
        <f t="shared" si="5"/>
        <v>2.1883154518802226E-3</v>
      </c>
    </row>
    <row r="128" spans="1:2">
      <c r="A128">
        <f t="shared" si="6"/>
        <v>63</v>
      </c>
      <c r="B128">
        <f t="shared" si="5"/>
        <v>2.0788996792862114E-3</v>
      </c>
    </row>
    <row r="129" spans="1:2">
      <c r="A129">
        <f t="shared" si="6"/>
        <v>64</v>
      </c>
      <c r="B129">
        <f t="shared" si="5"/>
        <v>1.9749546953219013E-3</v>
      </c>
    </row>
    <row r="130" spans="1:2">
      <c r="A130">
        <f t="shared" si="6"/>
        <v>65</v>
      </c>
      <c r="B130">
        <f t="shared" si="5"/>
        <v>1.876206960555806E-3</v>
      </c>
    </row>
    <row r="131" spans="1:2">
      <c r="A131">
        <f t="shared" si="6"/>
        <v>66</v>
      </c>
      <c r="B131">
        <f t="shared" ref="B131:B165" si="7">$B$64*(1-$B$64)^(A131-1)</f>
        <v>1.7823966125280156E-3</v>
      </c>
    </row>
    <row r="132" spans="1:2">
      <c r="A132">
        <f t="shared" ref="A132:A151" si="8">A131+1</f>
        <v>67</v>
      </c>
      <c r="B132">
        <f t="shared" si="7"/>
        <v>1.6932767819016149E-3</v>
      </c>
    </row>
    <row r="133" spans="1:2">
      <c r="A133">
        <f t="shared" si="8"/>
        <v>68</v>
      </c>
      <c r="B133">
        <f t="shared" si="7"/>
        <v>1.6086129428065339E-3</v>
      </c>
    </row>
    <row r="134" spans="1:2">
      <c r="A134">
        <f t="shared" si="8"/>
        <v>69</v>
      </c>
      <c r="B134">
        <f t="shared" si="7"/>
        <v>1.5281822956662073E-3</v>
      </c>
    </row>
    <row r="135" spans="1:2">
      <c r="A135">
        <f t="shared" si="8"/>
        <v>70</v>
      </c>
      <c r="B135">
        <f t="shared" si="7"/>
        <v>1.4517731808828972E-3</v>
      </c>
    </row>
    <row r="136" spans="1:2">
      <c r="A136">
        <f t="shared" si="8"/>
        <v>71</v>
      </c>
      <c r="B136">
        <f t="shared" si="7"/>
        <v>1.379184521838752E-3</v>
      </c>
    </row>
    <row r="137" spans="1:2">
      <c r="A137">
        <f t="shared" si="8"/>
        <v>72</v>
      </c>
      <c r="B137">
        <f t="shared" si="7"/>
        <v>1.3102252957468143E-3</v>
      </c>
    </row>
    <row r="138" spans="1:2">
      <c r="A138">
        <f t="shared" si="8"/>
        <v>73</v>
      </c>
      <c r="B138">
        <f t="shared" si="7"/>
        <v>1.2447140309594738E-3</v>
      </c>
    </row>
    <row r="139" spans="1:2">
      <c r="A139">
        <f t="shared" si="8"/>
        <v>74</v>
      </c>
      <c r="B139">
        <f t="shared" si="7"/>
        <v>1.1824783294115001E-3</v>
      </c>
    </row>
    <row r="140" spans="1:2">
      <c r="A140">
        <f t="shared" si="8"/>
        <v>75</v>
      </c>
      <c r="B140">
        <f t="shared" si="7"/>
        <v>1.1233544129409252E-3</v>
      </c>
    </row>
    <row r="141" spans="1:2">
      <c r="A141">
        <f t="shared" si="8"/>
        <v>76</v>
      </c>
      <c r="B141">
        <f t="shared" si="7"/>
        <v>1.0671866922938786E-3</v>
      </c>
    </row>
    <row r="142" spans="1:2">
      <c r="A142">
        <f t="shared" si="8"/>
        <v>77</v>
      </c>
      <c r="B142">
        <f t="shared" si="7"/>
        <v>1.0138273576791848E-3</v>
      </c>
    </row>
    <row r="143" spans="1:2">
      <c r="A143">
        <f t="shared" si="8"/>
        <v>78</v>
      </c>
      <c r="B143">
        <f t="shared" si="7"/>
        <v>9.6313598979522554E-4</v>
      </c>
    </row>
    <row r="144" spans="1:2">
      <c r="A144">
        <f t="shared" si="8"/>
        <v>79</v>
      </c>
      <c r="B144">
        <f t="shared" si="7"/>
        <v>9.1497919030546432E-4</v>
      </c>
    </row>
    <row r="145" spans="1:2">
      <c r="A145">
        <f t="shared" si="8"/>
        <v>80</v>
      </c>
      <c r="B145">
        <f t="shared" si="7"/>
        <v>8.6923023079019102E-4</v>
      </c>
    </row>
    <row r="146" spans="1:2">
      <c r="A146">
        <f t="shared" si="8"/>
        <v>81</v>
      </c>
      <c r="B146">
        <f t="shared" si="7"/>
        <v>8.2576871925068142E-4</v>
      </c>
    </row>
    <row r="147" spans="1:2">
      <c r="A147">
        <f t="shared" si="8"/>
        <v>82</v>
      </c>
      <c r="B147">
        <f t="shared" si="7"/>
        <v>7.8448028328814744E-4</v>
      </c>
    </row>
    <row r="148" spans="1:2">
      <c r="A148">
        <f t="shared" si="8"/>
        <v>83</v>
      </c>
      <c r="B148">
        <f t="shared" si="7"/>
        <v>7.4525626912374003E-4</v>
      </c>
    </row>
    <row r="149" spans="1:2">
      <c r="A149">
        <f t="shared" si="8"/>
        <v>84</v>
      </c>
      <c r="B149">
        <f t="shared" si="7"/>
        <v>7.0799345566755303E-4</v>
      </c>
    </row>
    <row r="150" spans="1:2">
      <c r="A150">
        <f t="shared" si="8"/>
        <v>85</v>
      </c>
      <c r="B150">
        <f t="shared" si="7"/>
        <v>6.7259378288417543E-4</v>
      </c>
    </row>
    <row r="151" spans="1:2">
      <c r="A151">
        <f t="shared" si="8"/>
        <v>86</v>
      </c>
      <c r="B151">
        <f t="shared" si="7"/>
        <v>6.3896409373996664E-4</v>
      </c>
    </row>
    <row r="152" spans="1:2">
      <c r="A152">
        <f t="shared" ref="A152:A163" si="9">A151+1</f>
        <v>87</v>
      </c>
      <c r="B152">
        <f t="shared" si="7"/>
        <v>6.0701588905296821E-4</v>
      </c>
    </row>
    <row r="153" spans="1:2">
      <c r="A153">
        <f t="shared" si="9"/>
        <v>88</v>
      </c>
      <c r="B153">
        <f t="shared" si="7"/>
        <v>5.7666509460031984E-4</v>
      </c>
    </row>
    <row r="154" spans="1:2">
      <c r="A154">
        <f t="shared" si="9"/>
        <v>89</v>
      </c>
      <c r="B154">
        <f t="shared" si="7"/>
        <v>5.4783183987030387E-4</v>
      </c>
    </row>
    <row r="155" spans="1:2">
      <c r="A155">
        <f t="shared" si="9"/>
        <v>90</v>
      </c>
      <c r="B155">
        <f t="shared" si="7"/>
        <v>5.2044024787678859E-4</v>
      </c>
    </row>
    <row r="156" spans="1:2">
      <c r="A156">
        <f t="shared" si="9"/>
        <v>91</v>
      </c>
      <c r="B156">
        <f t="shared" si="7"/>
        <v>4.9441823548294927E-4</v>
      </c>
    </row>
    <row r="157" spans="1:2">
      <c r="A157">
        <f t="shared" si="9"/>
        <v>92</v>
      </c>
      <c r="B157">
        <f t="shared" si="7"/>
        <v>4.6969732370880177E-4</v>
      </c>
    </row>
    <row r="158" spans="1:2">
      <c r="A158">
        <f t="shared" si="9"/>
        <v>93</v>
      </c>
      <c r="B158">
        <f t="shared" si="7"/>
        <v>4.4621245752336167E-4</v>
      </c>
    </row>
    <row r="159" spans="1:2">
      <c r="A159">
        <f t="shared" si="9"/>
        <v>94</v>
      </c>
      <c r="B159">
        <f t="shared" si="7"/>
        <v>4.2390183464719356E-4</v>
      </c>
    </row>
    <row r="160" spans="1:2">
      <c r="A160">
        <f t="shared" si="9"/>
        <v>95</v>
      </c>
      <c r="B160">
        <f t="shared" si="7"/>
        <v>4.0270674291483383E-4</v>
      </c>
    </row>
    <row r="161" spans="1:6">
      <c r="A161">
        <f t="shared" si="9"/>
        <v>96</v>
      </c>
      <c r="B161">
        <f t="shared" si="7"/>
        <v>3.8257140576909222E-4</v>
      </c>
    </row>
    <row r="162" spans="1:6">
      <c r="A162">
        <f t="shared" si="9"/>
        <v>97</v>
      </c>
      <c r="B162">
        <f t="shared" si="7"/>
        <v>3.6344283548063764E-4</v>
      </c>
    </row>
    <row r="163" spans="1:6">
      <c r="A163">
        <f t="shared" si="9"/>
        <v>98</v>
      </c>
      <c r="B163">
        <f t="shared" si="7"/>
        <v>3.4527069370660573E-4</v>
      </c>
    </row>
    <row r="164" spans="1:6">
      <c r="A164">
        <f t="shared" ref="A164:A165" si="10">A163+1</f>
        <v>99</v>
      </c>
      <c r="B164">
        <f t="shared" si="7"/>
        <v>3.2800715902127548E-4</v>
      </c>
    </row>
    <row r="165" spans="1:6">
      <c r="A165">
        <f t="shared" si="10"/>
        <v>100</v>
      </c>
      <c r="B165">
        <f t="shared" si="7"/>
        <v>3.116068010702116E-4</v>
      </c>
    </row>
    <row r="166" spans="1:6">
      <c r="F166" t="s">
        <v>1550</v>
      </c>
    </row>
    <row r="167" spans="1:6">
      <c r="A167" s="11" t="s">
        <v>553</v>
      </c>
      <c r="B167" t="s">
        <v>554</v>
      </c>
    </row>
    <row r="168" spans="1:6">
      <c r="B168">
        <v>50</v>
      </c>
    </row>
    <row r="169" spans="1:6">
      <c r="B169" t="s">
        <v>365</v>
      </c>
      <c r="C169" t="s">
        <v>558</v>
      </c>
    </row>
    <row r="170" spans="1:6">
      <c r="B170">
        <v>4</v>
      </c>
      <c r="C170">
        <f>4*$B$168/(B170*(B170-1))</f>
        <v>16.666666666666668</v>
      </c>
    </row>
    <row r="171" spans="1:6">
      <c r="B171">
        <v>3</v>
      </c>
      <c r="C171">
        <f>4*$B$168/(B171*(B171-1))</f>
        <v>33.333333333333336</v>
      </c>
    </row>
    <row r="172" spans="1:6">
      <c r="B172">
        <v>2</v>
      </c>
      <c r="C172">
        <f>4*$B$168/(B172*(B172-1))</f>
        <v>100</v>
      </c>
    </row>
    <row r="173" spans="1:6">
      <c r="B173" t="s">
        <v>1551</v>
      </c>
      <c r="C173">
        <f>SUM(C170:C172)</f>
        <v>150</v>
      </c>
    </row>
    <row r="175" spans="1:6">
      <c r="A175" s="11" t="s">
        <v>557</v>
      </c>
      <c r="B175" t="s">
        <v>554</v>
      </c>
      <c r="C175" t="s">
        <v>555</v>
      </c>
      <c r="D175" t="s">
        <v>556</v>
      </c>
    </row>
    <row r="176" spans="1:6">
      <c r="B176">
        <v>50</v>
      </c>
      <c r="C176">
        <v>1E-3</v>
      </c>
      <c r="D176">
        <f>4*B176*C176</f>
        <v>0.2</v>
      </c>
    </row>
    <row r="177" spans="1:7">
      <c r="A177" t="s">
        <v>1552</v>
      </c>
      <c r="B177" t="s">
        <v>1553</v>
      </c>
      <c r="C177">
        <f>SUMPRODUCT(B170:B172,C170:C172)</f>
        <v>366.66666666666669</v>
      </c>
    </row>
    <row r="178" spans="1:7">
      <c r="A178" t="s">
        <v>1554</v>
      </c>
      <c r="B178" t="s">
        <v>559</v>
      </c>
      <c r="C178">
        <f>C176*C177</f>
        <v>0.3666666666666667</v>
      </c>
      <c r="D178">
        <f>D176*(1/1+1/2+1/3)</f>
        <v>0.3666666666666667</v>
      </c>
    </row>
    <row r="179" spans="1:7">
      <c r="B179" t="s">
        <v>456</v>
      </c>
      <c r="C179">
        <f>1/(1+D176)</f>
        <v>0.83333333333333337</v>
      </c>
    </row>
    <row r="180" spans="1:7">
      <c r="B180" t="s">
        <v>560</v>
      </c>
      <c r="C180">
        <f>SUM(C182:C281)</f>
        <v>1.9782419530531596</v>
      </c>
    </row>
    <row r="181" spans="1:7">
      <c r="B181" t="s">
        <v>561</v>
      </c>
      <c r="C181" t="s">
        <v>562</v>
      </c>
    </row>
    <row r="182" spans="1:7">
      <c r="B182">
        <v>0</v>
      </c>
      <c r="C182">
        <f t="shared" ref="C182:C213" si="11">$D$176/($D$176+B182)</f>
        <v>1</v>
      </c>
    </row>
    <row r="183" spans="1:7">
      <c r="B183">
        <f>B182+1</f>
        <v>1</v>
      </c>
      <c r="C183">
        <f t="shared" si="11"/>
        <v>0.16666666666666669</v>
      </c>
      <c r="G183" t="s">
        <v>100</v>
      </c>
    </row>
    <row r="184" spans="1:7">
      <c r="B184">
        <f t="shared" ref="B184:B247" si="12">B183+1</f>
        <v>2</v>
      </c>
      <c r="C184">
        <f t="shared" si="11"/>
        <v>9.0909090909090912E-2</v>
      </c>
    </row>
    <row r="185" spans="1:7">
      <c r="B185">
        <f t="shared" si="12"/>
        <v>3</v>
      </c>
      <c r="C185">
        <f t="shared" si="11"/>
        <v>6.25E-2</v>
      </c>
    </row>
    <row r="186" spans="1:7">
      <c r="B186">
        <f t="shared" si="12"/>
        <v>4</v>
      </c>
      <c r="C186">
        <f t="shared" si="11"/>
        <v>4.7619047619047616E-2</v>
      </c>
    </row>
    <row r="187" spans="1:7">
      <c r="B187">
        <f t="shared" si="12"/>
        <v>5</v>
      </c>
      <c r="C187">
        <f t="shared" si="11"/>
        <v>3.8461538461538464E-2</v>
      </c>
    </row>
    <row r="188" spans="1:7">
      <c r="B188">
        <f t="shared" si="12"/>
        <v>6</v>
      </c>
      <c r="C188">
        <f t="shared" si="11"/>
        <v>3.2258064516129031E-2</v>
      </c>
    </row>
    <row r="189" spans="1:7">
      <c r="B189">
        <f t="shared" si="12"/>
        <v>7</v>
      </c>
      <c r="C189">
        <f t="shared" si="11"/>
        <v>2.777777777777778E-2</v>
      </c>
    </row>
    <row r="190" spans="1:7">
      <c r="B190">
        <f t="shared" si="12"/>
        <v>8</v>
      </c>
      <c r="C190">
        <f t="shared" si="11"/>
        <v>2.4390243902439029E-2</v>
      </c>
    </row>
    <row r="191" spans="1:7">
      <c r="B191">
        <f t="shared" si="12"/>
        <v>9</v>
      </c>
      <c r="C191">
        <f t="shared" si="11"/>
        <v>2.1739130434782612E-2</v>
      </c>
    </row>
    <row r="192" spans="1:7">
      <c r="B192">
        <f t="shared" si="12"/>
        <v>10</v>
      </c>
      <c r="C192">
        <f t="shared" si="11"/>
        <v>1.9607843137254905E-2</v>
      </c>
    </row>
    <row r="193" spans="2:3">
      <c r="B193">
        <f t="shared" si="12"/>
        <v>11</v>
      </c>
      <c r="C193">
        <f t="shared" si="11"/>
        <v>1.785714285714286E-2</v>
      </c>
    </row>
    <row r="194" spans="2:3">
      <c r="B194">
        <f t="shared" si="12"/>
        <v>12</v>
      </c>
      <c r="C194">
        <f t="shared" si="11"/>
        <v>1.6393442622950821E-2</v>
      </c>
    </row>
    <row r="195" spans="2:3">
      <c r="B195">
        <f t="shared" si="12"/>
        <v>13</v>
      </c>
      <c r="C195">
        <f t="shared" si="11"/>
        <v>1.5151515151515154E-2</v>
      </c>
    </row>
    <row r="196" spans="2:3">
      <c r="B196">
        <f t="shared" si="12"/>
        <v>14</v>
      </c>
      <c r="C196">
        <f t="shared" si="11"/>
        <v>1.4084507042253523E-2</v>
      </c>
    </row>
    <row r="197" spans="2:3">
      <c r="B197">
        <f t="shared" si="12"/>
        <v>15</v>
      </c>
      <c r="C197">
        <f t="shared" si="11"/>
        <v>1.3157894736842106E-2</v>
      </c>
    </row>
    <row r="198" spans="2:3">
      <c r="B198">
        <f t="shared" si="12"/>
        <v>16</v>
      </c>
      <c r="C198">
        <f t="shared" si="11"/>
        <v>1.234567901234568E-2</v>
      </c>
    </row>
    <row r="199" spans="2:3">
      <c r="B199">
        <f t="shared" si="12"/>
        <v>17</v>
      </c>
      <c r="C199">
        <f t="shared" si="11"/>
        <v>1.1627906976744188E-2</v>
      </c>
    </row>
    <row r="200" spans="2:3">
      <c r="B200">
        <f t="shared" si="12"/>
        <v>18</v>
      </c>
      <c r="C200">
        <f t="shared" si="11"/>
        <v>1.098901098901099E-2</v>
      </c>
    </row>
    <row r="201" spans="2:3">
      <c r="B201">
        <f t="shared" si="12"/>
        <v>19</v>
      </c>
      <c r="C201">
        <f t="shared" si="11"/>
        <v>1.0416666666666668E-2</v>
      </c>
    </row>
    <row r="202" spans="2:3">
      <c r="B202">
        <f t="shared" si="12"/>
        <v>20</v>
      </c>
      <c r="C202">
        <f t="shared" si="11"/>
        <v>9.9009900990099011E-3</v>
      </c>
    </row>
    <row r="203" spans="2:3">
      <c r="B203">
        <f t="shared" si="12"/>
        <v>21</v>
      </c>
      <c r="C203">
        <f t="shared" si="11"/>
        <v>9.4339622641509448E-3</v>
      </c>
    </row>
    <row r="204" spans="2:3">
      <c r="B204">
        <f t="shared" si="12"/>
        <v>22</v>
      </c>
      <c r="C204">
        <f t="shared" si="11"/>
        <v>9.0090090090090089E-3</v>
      </c>
    </row>
    <row r="205" spans="2:3">
      <c r="B205">
        <f t="shared" si="12"/>
        <v>23</v>
      </c>
      <c r="C205">
        <f t="shared" si="11"/>
        <v>8.6206896551724137E-3</v>
      </c>
    </row>
    <row r="206" spans="2:3">
      <c r="B206">
        <f t="shared" si="12"/>
        <v>24</v>
      </c>
      <c r="C206">
        <f t="shared" si="11"/>
        <v>8.2644628099173556E-3</v>
      </c>
    </row>
    <row r="207" spans="2:3">
      <c r="B207">
        <f t="shared" si="12"/>
        <v>25</v>
      </c>
      <c r="C207">
        <f t="shared" si="11"/>
        <v>7.9365079365079378E-3</v>
      </c>
    </row>
    <row r="208" spans="2:3">
      <c r="B208">
        <f t="shared" si="12"/>
        <v>26</v>
      </c>
      <c r="C208">
        <f t="shared" si="11"/>
        <v>7.6335877862595426E-3</v>
      </c>
    </row>
    <row r="209" spans="2:3">
      <c r="B209">
        <f t="shared" si="12"/>
        <v>27</v>
      </c>
      <c r="C209">
        <f t="shared" si="11"/>
        <v>7.352941176470589E-3</v>
      </c>
    </row>
    <row r="210" spans="2:3">
      <c r="B210">
        <f t="shared" si="12"/>
        <v>28</v>
      </c>
      <c r="C210">
        <f t="shared" si="11"/>
        <v>7.0921985815602844E-3</v>
      </c>
    </row>
    <row r="211" spans="2:3">
      <c r="B211">
        <f t="shared" si="12"/>
        <v>29</v>
      </c>
      <c r="C211">
        <f t="shared" si="11"/>
        <v>6.8493150684931512E-3</v>
      </c>
    </row>
    <row r="212" spans="2:3">
      <c r="B212">
        <f t="shared" si="12"/>
        <v>30</v>
      </c>
      <c r="C212">
        <f t="shared" si="11"/>
        <v>6.6225165562913916E-3</v>
      </c>
    </row>
    <row r="213" spans="2:3">
      <c r="B213">
        <f t="shared" si="12"/>
        <v>31</v>
      </c>
      <c r="C213">
        <f t="shared" si="11"/>
        <v>6.4102564102564109E-3</v>
      </c>
    </row>
    <row r="214" spans="2:3">
      <c r="B214">
        <f t="shared" si="12"/>
        <v>32</v>
      </c>
      <c r="C214">
        <f t="shared" ref="C214:C245" si="13">$D$176/($D$176+B214)</f>
        <v>6.2111801242236021E-3</v>
      </c>
    </row>
    <row r="215" spans="2:3">
      <c r="B215">
        <f t="shared" si="12"/>
        <v>33</v>
      </c>
      <c r="C215">
        <f t="shared" si="13"/>
        <v>6.0240963855421681E-3</v>
      </c>
    </row>
    <row r="216" spans="2:3">
      <c r="B216">
        <f t="shared" si="12"/>
        <v>34</v>
      </c>
      <c r="C216">
        <f t="shared" si="13"/>
        <v>5.8479532163742687E-3</v>
      </c>
    </row>
    <row r="217" spans="2:3">
      <c r="B217">
        <f t="shared" si="12"/>
        <v>35</v>
      </c>
      <c r="C217">
        <f t="shared" si="13"/>
        <v>5.681818181818182E-3</v>
      </c>
    </row>
    <row r="218" spans="2:3">
      <c r="B218">
        <f t="shared" si="12"/>
        <v>36</v>
      </c>
      <c r="C218">
        <f t="shared" si="13"/>
        <v>5.5248618784530384E-3</v>
      </c>
    </row>
    <row r="219" spans="2:3">
      <c r="B219">
        <f t="shared" si="12"/>
        <v>37</v>
      </c>
      <c r="C219">
        <f t="shared" si="13"/>
        <v>5.3763440860215049E-3</v>
      </c>
    </row>
    <row r="220" spans="2:3">
      <c r="B220">
        <f t="shared" si="12"/>
        <v>38</v>
      </c>
      <c r="C220">
        <f t="shared" si="13"/>
        <v>5.235602094240838E-3</v>
      </c>
    </row>
    <row r="221" spans="2:3">
      <c r="B221">
        <f t="shared" si="12"/>
        <v>39</v>
      </c>
      <c r="C221">
        <f t="shared" si="13"/>
        <v>5.1020408163265302E-3</v>
      </c>
    </row>
    <row r="222" spans="2:3">
      <c r="B222">
        <f t="shared" si="12"/>
        <v>40</v>
      </c>
      <c r="C222">
        <f t="shared" si="13"/>
        <v>4.9751243781094526E-3</v>
      </c>
    </row>
    <row r="223" spans="2:3">
      <c r="B223">
        <f t="shared" si="12"/>
        <v>41</v>
      </c>
      <c r="C223">
        <f t="shared" si="13"/>
        <v>4.8543689320388345E-3</v>
      </c>
    </row>
    <row r="224" spans="2:3">
      <c r="B224">
        <f t="shared" si="12"/>
        <v>42</v>
      </c>
      <c r="C224">
        <f t="shared" si="13"/>
        <v>4.7393364928909956E-3</v>
      </c>
    </row>
    <row r="225" spans="2:3">
      <c r="B225">
        <f t="shared" si="12"/>
        <v>43</v>
      </c>
      <c r="C225">
        <f t="shared" si="13"/>
        <v>4.6296296296296294E-3</v>
      </c>
    </row>
    <row r="226" spans="2:3">
      <c r="B226">
        <f t="shared" si="12"/>
        <v>44</v>
      </c>
      <c r="C226">
        <f t="shared" si="13"/>
        <v>4.5248868778280538E-3</v>
      </c>
    </row>
    <row r="227" spans="2:3">
      <c r="B227">
        <f t="shared" si="12"/>
        <v>45</v>
      </c>
      <c r="C227">
        <f t="shared" si="13"/>
        <v>4.4247787610619468E-3</v>
      </c>
    </row>
    <row r="228" spans="2:3">
      <c r="B228">
        <f t="shared" si="12"/>
        <v>46</v>
      </c>
      <c r="C228">
        <f t="shared" si="13"/>
        <v>4.329004329004329E-3</v>
      </c>
    </row>
    <row r="229" spans="2:3">
      <c r="B229">
        <f t="shared" si="12"/>
        <v>47</v>
      </c>
      <c r="C229">
        <f t="shared" si="13"/>
        <v>4.2372881355932203E-3</v>
      </c>
    </row>
    <row r="230" spans="2:3">
      <c r="B230">
        <f t="shared" si="12"/>
        <v>48</v>
      </c>
      <c r="C230">
        <f t="shared" si="13"/>
        <v>4.1493775933609959E-3</v>
      </c>
    </row>
    <row r="231" spans="2:3">
      <c r="B231">
        <f t="shared" si="12"/>
        <v>49</v>
      </c>
      <c r="C231">
        <f t="shared" si="13"/>
        <v>4.0650406504065036E-3</v>
      </c>
    </row>
    <row r="232" spans="2:3">
      <c r="B232">
        <f t="shared" si="12"/>
        <v>50</v>
      </c>
      <c r="C232">
        <f t="shared" si="13"/>
        <v>3.9840637450199202E-3</v>
      </c>
    </row>
    <row r="233" spans="2:3">
      <c r="B233">
        <f t="shared" si="12"/>
        <v>51</v>
      </c>
      <c r="C233">
        <f t="shared" si="13"/>
        <v>3.90625E-3</v>
      </c>
    </row>
    <row r="234" spans="2:3">
      <c r="B234">
        <f t="shared" si="12"/>
        <v>52</v>
      </c>
      <c r="C234">
        <f t="shared" si="13"/>
        <v>3.8314176245210726E-3</v>
      </c>
    </row>
    <row r="235" spans="2:3">
      <c r="B235">
        <f t="shared" si="12"/>
        <v>53</v>
      </c>
      <c r="C235">
        <f t="shared" si="13"/>
        <v>3.7593984962406013E-3</v>
      </c>
    </row>
    <row r="236" spans="2:3">
      <c r="B236">
        <f t="shared" si="12"/>
        <v>54</v>
      </c>
      <c r="C236">
        <f t="shared" si="13"/>
        <v>3.6900369003690036E-3</v>
      </c>
    </row>
    <row r="237" spans="2:3">
      <c r="B237">
        <f t="shared" si="12"/>
        <v>55</v>
      </c>
      <c r="C237">
        <f t="shared" si="13"/>
        <v>3.6231884057971015E-3</v>
      </c>
    </row>
    <row r="238" spans="2:3">
      <c r="B238">
        <f t="shared" si="12"/>
        <v>56</v>
      </c>
      <c r="C238">
        <f t="shared" si="13"/>
        <v>3.5587188612099642E-3</v>
      </c>
    </row>
    <row r="239" spans="2:3">
      <c r="B239">
        <f t="shared" si="12"/>
        <v>57</v>
      </c>
      <c r="C239">
        <f t="shared" si="13"/>
        <v>3.4965034965034965E-3</v>
      </c>
    </row>
    <row r="240" spans="2:3">
      <c r="B240">
        <f t="shared" si="12"/>
        <v>58</v>
      </c>
      <c r="C240">
        <f t="shared" si="13"/>
        <v>3.4364261168384879E-3</v>
      </c>
    </row>
    <row r="241" spans="2:3">
      <c r="B241">
        <f t="shared" si="12"/>
        <v>59</v>
      </c>
      <c r="C241">
        <f t="shared" si="13"/>
        <v>3.3783783783783786E-3</v>
      </c>
    </row>
    <row r="242" spans="2:3">
      <c r="B242">
        <f t="shared" si="12"/>
        <v>60</v>
      </c>
      <c r="C242">
        <f t="shared" si="13"/>
        <v>3.3222591362126247E-3</v>
      </c>
    </row>
    <row r="243" spans="2:3">
      <c r="B243">
        <f t="shared" si="12"/>
        <v>61</v>
      </c>
      <c r="C243">
        <f t="shared" si="13"/>
        <v>3.2679738562091504E-3</v>
      </c>
    </row>
    <row r="244" spans="2:3">
      <c r="B244">
        <f t="shared" si="12"/>
        <v>62</v>
      </c>
      <c r="C244">
        <f t="shared" si="13"/>
        <v>3.2154340836012861E-3</v>
      </c>
    </row>
    <row r="245" spans="2:3">
      <c r="B245">
        <f t="shared" si="12"/>
        <v>63</v>
      </c>
      <c r="C245">
        <f t="shared" si="13"/>
        <v>3.1645569620253164E-3</v>
      </c>
    </row>
    <row r="246" spans="2:3">
      <c r="B246">
        <f t="shared" si="12"/>
        <v>64</v>
      </c>
      <c r="C246">
        <f t="shared" ref="C246:C280" si="14">$D$176/($D$176+B246)</f>
        <v>3.1152647975077881E-3</v>
      </c>
    </row>
    <row r="247" spans="2:3">
      <c r="B247">
        <f t="shared" si="12"/>
        <v>65</v>
      </c>
      <c r="C247">
        <f t="shared" si="14"/>
        <v>3.0674846625766872E-3</v>
      </c>
    </row>
    <row r="248" spans="2:3">
      <c r="B248">
        <f t="shared" ref="B248:B280" si="15">B247+1</f>
        <v>66</v>
      </c>
      <c r="C248">
        <f t="shared" si="14"/>
        <v>3.0211480362537764E-3</v>
      </c>
    </row>
    <row r="249" spans="2:3">
      <c r="B249">
        <f t="shared" si="15"/>
        <v>67</v>
      </c>
      <c r="C249">
        <f t="shared" si="14"/>
        <v>2.976190476190476E-3</v>
      </c>
    </row>
    <row r="250" spans="2:3">
      <c r="B250">
        <f t="shared" si="15"/>
        <v>68</v>
      </c>
      <c r="C250">
        <f t="shared" si="14"/>
        <v>2.9325513196480938E-3</v>
      </c>
    </row>
    <row r="251" spans="2:3">
      <c r="B251">
        <f t="shared" si="15"/>
        <v>69</v>
      </c>
      <c r="C251">
        <f t="shared" si="14"/>
        <v>2.8901734104046241E-3</v>
      </c>
    </row>
    <row r="252" spans="2:3">
      <c r="B252">
        <f t="shared" si="15"/>
        <v>70</v>
      </c>
      <c r="C252">
        <f t="shared" si="14"/>
        <v>2.8490028490028491E-3</v>
      </c>
    </row>
    <row r="253" spans="2:3">
      <c r="B253">
        <f t="shared" si="15"/>
        <v>71</v>
      </c>
      <c r="C253">
        <f t="shared" si="14"/>
        <v>2.8089887640449437E-3</v>
      </c>
    </row>
    <row r="254" spans="2:3">
      <c r="B254">
        <f t="shared" si="15"/>
        <v>72</v>
      </c>
      <c r="C254">
        <f t="shared" si="14"/>
        <v>2.7700831024930748E-3</v>
      </c>
    </row>
    <row r="255" spans="2:3">
      <c r="B255">
        <f t="shared" si="15"/>
        <v>73</v>
      </c>
      <c r="C255">
        <f t="shared" si="14"/>
        <v>2.7322404371584699E-3</v>
      </c>
    </row>
    <row r="256" spans="2:3">
      <c r="B256">
        <f t="shared" si="15"/>
        <v>74</v>
      </c>
      <c r="C256">
        <f t="shared" si="14"/>
        <v>2.6954177897574125E-3</v>
      </c>
    </row>
    <row r="257" spans="2:3">
      <c r="B257">
        <f t="shared" si="15"/>
        <v>75</v>
      </c>
      <c r="C257">
        <f t="shared" si="14"/>
        <v>2.6595744680851063E-3</v>
      </c>
    </row>
    <row r="258" spans="2:3">
      <c r="B258">
        <f t="shared" si="15"/>
        <v>76</v>
      </c>
      <c r="C258">
        <f t="shared" si="14"/>
        <v>2.6246719160104987E-3</v>
      </c>
    </row>
    <row r="259" spans="2:3">
      <c r="B259">
        <f t="shared" si="15"/>
        <v>77</v>
      </c>
      <c r="C259">
        <f t="shared" si="14"/>
        <v>2.5906735751295338E-3</v>
      </c>
    </row>
    <row r="260" spans="2:3">
      <c r="B260">
        <f t="shared" si="15"/>
        <v>78</v>
      </c>
      <c r="C260">
        <f t="shared" si="14"/>
        <v>2.5575447570332483E-3</v>
      </c>
    </row>
    <row r="261" spans="2:3">
      <c r="B261">
        <f t="shared" si="15"/>
        <v>79</v>
      </c>
      <c r="C261">
        <f t="shared" si="14"/>
        <v>2.5252525252525255E-3</v>
      </c>
    </row>
    <row r="262" spans="2:3">
      <c r="B262">
        <f t="shared" si="15"/>
        <v>80</v>
      </c>
      <c r="C262">
        <f t="shared" si="14"/>
        <v>2.4937655860349127E-3</v>
      </c>
    </row>
    <row r="263" spans="2:3">
      <c r="B263">
        <f t="shared" si="15"/>
        <v>81</v>
      </c>
      <c r="C263">
        <f t="shared" si="14"/>
        <v>2.4630541871921183E-3</v>
      </c>
    </row>
    <row r="264" spans="2:3">
      <c r="B264">
        <f t="shared" si="15"/>
        <v>82</v>
      </c>
      <c r="C264">
        <f t="shared" si="14"/>
        <v>2.4330900243309003E-3</v>
      </c>
    </row>
    <row r="265" spans="2:3">
      <c r="B265">
        <f t="shared" si="15"/>
        <v>83</v>
      </c>
      <c r="C265">
        <f t="shared" si="14"/>
        <v>2.403846153846154E-3</v>
      </c>
    </row>
    <row r="266" spans="2:3">
      <c r="B266">
        <f t="shared" si="15"/>
        <v>84</v>
      </c>
      <c r="C266">
        <f t="shared" si="14"/>
        <v>2.3752969121140144E-3</v>
      </c>
    </row>
    <row r="267" spans="2:3">
      <c r="B267">
        <f t="shared" si="15"/>
        <v>85</v>
      </c>
      <c r="C267">
        <f t="shared" si="14"/>
        <v>2.3474178403755869E-3</v>
      </c>
    </row>
    <row r="268" spans="2:3">
      <c r="B268">
        <f t="shared" si="15"/>
        <v>86</v>
      </c>
      <c r="C268">
        <f t="shared" si="14"/>
        <v>2.3201856148491878E-3</v>
      </c>
    </row>
    <row r="269" spans="2:3">
      <c r="B269">
        <f t="shared" si="15"/>
        <v>87</v>
      </c>
      <c r="C269">
        <f t="shared" si="14"/>
        <v>2.2935779816513763E-3</v>
      </c>
    </row>
    <row r="270" spans="2:3">
      <c r="B270">
        <f t="shared" si="15"/>
        <v>88</v>
      </c>
      <c r="C270">
        <f t="shared" si="14"/>
        <v>2.2675736961451248E-3</v>
      </c>
    </row>
    <row r="271" spans="2:3">
      <c r="B271">
        <f t="shared" si="15"/>
        <v>89</v>
      </c>
      <c r="C271">
        <f t="shared" si="14"/>
        <v>2.242152466367713E-3</v>
      </c>
    </row>
    <row r="272" spans="2:3">
      <c r="B272">
        <f t="shared" si="15"/>
        <v>90</v>
      </c>
      <c r="C272">
        <f t="shared" si="14"/>
        <v>2.2172949002217295E-3</v>
      </c>
    </row>
    <row r="273" spans="1:5">
      <c r="B273">
        <f t="shared" si="15"/>
        <v>91</v>
      </c>
      <c r="C273">
        <f t="shared" si="14"/>
        <v>2.1929824561403508E-3</v>
      </c>
    </row>
    <row r="274" spans="1:5">
      <c r="B274">
        <f t="shared" si="15"/>
        <v>92</v>
      </c>
      <c r="C274">
        <f t="shared" si="14"/>
        <v>2.1691973969631237E-3</v>
      </c>
    </row>
    <row r="275" spans="1:5">
      <c r="B275">
        <f t="shared" si="15"/>
        <v>93</v>
      </c>
      <c r="C275">
        <f t="shared" si="14"/>
        <v>2.1459227467811159E-3</v>
      </c>
    </row>
    <row r="276" spans="1:5">
      <c r="B276">
        <f t="shared" si="15"/>
        <v>94</v>
      </c>
      <c r="C276">
        <f t="shared" si="14"/>
        <v>2.1231422505307855E-3</v>
      </c>
    </row>
    <row r="277" spans="1:5">
      <c r="B277">
        <f t="shared" si="15"/>
        <v>95</v>
      </c>
      <c r="C277">
        <f t="shared" si="14"/>
        <v>2.1008403361344537E-3</v>
      </c>
    </row>
    <row r="278" spans="1:5">
      <c r="B278">
        <f t="shared" si="15"/>
        <v>96</v>
      </c>
      <c r="C278">
        <f t="shared" si="14"/>
        <v>2.0790020790020791E-3</v>
      </c>
    </row>
    <row r="279" spans="1:5">
      <c r="B279">
        <f t="shared" si="15"/>
        <v>97</v>
      </c>
      <c r="C279">
        <f t="shared" si="14"/>
        <v>2.05761316872428E-3</v>
      </c>
    </row>
    <row r="280" spans="1:5">
      <c r="B280">
        <f t="shared" si="15"/>
        <v>98</v>
      </c>
      <c r="C280">
        <f t="shared" si="14"/>
        <v>2.0366598778004076E-3</v>
      </c>
    </row>
    <row r="281" spans="1:5">
      <c r="B281">
        <f>B280+1</f>
        <v>99</v>
      </c>
      <c r="C281">
        <f>$D$176/($D$176+B281)</f>
        <v>2.0161290322580645E-3</v>
      </c>
    </row>
    <row r="283" spans="1:5">
      <c r="A283" s="11" t="s">
        <v>563</v>
      </c>
      <c r="B283" t="s">
        <v>1555</v>
      </c>
      <c r="C283" t="s">
        <v>564</v>
      </c>
      <c r="D283" t="s">
        <v>565</v>
      </c>
      <c r="E283" t="s">
        <v>566</v>
      </c>
    </row>
    <row r="284" spans="1:5">
      <c r="B284">
        <v>1</v>
      </c>
      <c r="C284">
        <v>3</v>
      </c>
      <c r="D284">
        <v>3</v>
      </c>
      <c r="E284">
        <f>C284*D284</f>
        <v>9</v>
      </c>
    </row>
    <row r="285" spans="1:5">
      <c r="B285">
        <v>2</v>
      </c>
      <c r="C285">
        <v>5</v>
      </c>
      <c r="D285">
        <v>1</v>
      </c>
      <c r="E285">
        <f t="shared" ref="E285:E303" si="16">C285*D285</f>
        <v>5</v>
      </c>
    </row>
    <row r="286" spans="1:5">
      <c r="B286">
        <v>3</v>
      </c>
      <c r="C286">
        <v>4</v>
      </c>
      <c r="D286">
        <v>2</v>
      </c>
      <c r="E286">
        <f t="shared" si="16"/>
        <v>8</v>
      </c>
    </row>
    <row r="287" spans="1:5">
      <c r="B287">
        <v>4</v>
      </c>
      <c r="C287">
        <v>4</v>
      </c>
      <c r="D287">
        <v>2</v>
      </c>
      <c r="E287">
        <f t="shared" si="16"/>
        <v>8</v>
      </c>
    </row>
    <row r="288" spans="1:5">
      <c r="B288">
        <v>5</v>
      </c>
      <c r="C288">
        <v>5</v>
      </c>
      <c r="D288">
        <v>1</v>
      </c>
      <c r="E288">
        <f t="shared" si="16"/>
        <v>5</v>
      </c>
    </row>
    <row r="289" spans="2:5">
      <c r="B289">
        <v>6</v>
      </c>
      <c r="C289">
        <v>5</v>
      </c>
      <c r="D289">
        <v>1</v>
      </c>
      <c r="E289">
        <f t="shared" si="16"/>
        <v>5</v>
      </c>
    </row>
    <row r="290" spans="2:5">
      <c r="B290">
        <v>7</v>
      </c>
      <c r="C290">
        <v>4</v>
      </c>
      <c r="D290">
        <v>2</v>
      </c>
      <c r="E290">
        <f t="shared" si="16"/>
        <v>8</v>
      </c>
    </row>
    <row r="291" spans="2:5">
      <c r="B291">
        <v>8</v>
      </c>
      <c r="C291">
        <v>5</v>
      </c>
      <c r="D291">
        <v>1</v>
      </c>
      <c r="E291">
        <f t="shared" si="16"/>
        <v>5</v>
      </c>
    </row>
    <row r="292" spans="2:5">
      <c r="B292">
        <v>9</v>
      </c>
      <c r="C292">
        <v>5</v>
      </c>
      <c r="D292">
        <v>1</v>
      </c>
      <c r="E292">
        <f t="shared" si="16"/>
        <v>5</v>
      </c>
    </row>
    <row r="293" spans="2:5">
      <c r="B293">
        <v>10</v>
      </c>
      <c r="C293">
        <v>4</v>
      </c>
      <c r="D293">
        <v>2</v>
      </c>
      <c r="E293">
        <f t="shared" si="16"/>
        <v>8</v>
      </c>
    </row>
    <row r="294" spans="2:5">
      <c r="B294">
        <v>11</v>
      </c>
      <c r="C294">
        <v>5</v>
      </c>
      <c r="D294">
        <v>1</v>
      </c>
      <c r="E294">
        <f t="shared" si="16"/>
        <v>5</v>
      </c>
    </row>
    <row r="295" spans="2:5">
      <c r="B295">
        <v>12</v>
      </c>
      <c r="C295">
        <v>5</v>
      </c>
      <c r="D295">
        <v>1</v>
      </c>
      <c r="E295">
        <f t="shared" si="16"/>
        <v>5</v>
      </c>
    </row>
    <row r="296" spans="2:5">
      <c r="B296">
        <v>13</v>
      </c>
      <c r="C296">
        <v>4</v>
      </c>
      <c r="D296">
        <v>2</v>
      </c>
      <c r="E296">
        <f t="shared" si="16"/>
        <v>8</v>
      </c>
    </row>
    <row r="297" spans="2:5">
      <c r="B297">
        <v>14</v>
      </c>
      <c r="C297">
        <v>3</v>
      </c>
      <c r="D297">
        <v>3</v>
      </c>
      <c r="E297">
        <f t="shared" si="16"/>
        <v>9</v>
      </c>
    </row>
    <row r="298" spans="2:5">
      <c r="B298">
        <v>15</v>
      </c>
      <c r="C298">
        <v>5</v>
      </c>
      <c r="D298">
        <v>1</v>
      </c>
      <c r="E298">
        <f t="shared" si="16"/>
        <v>5</v>
      </c>
    </row>
    <row r="299" spans="2:5">
      <c r="B299">
        <v>16</v>
      </c>
      <c r="C299">
        <v>4</v>
      </c>
      <c r="D299">
        <v>2</v>
      </c>
      <c r="E299">
        <f t="shared" si="16"/>
        <v>8</v>
      </c>
    </row>
    <row r="300" spans="2:5">
      <c r="B300">
        <v>17</v>
      </c>
      <c r="C300">
        <v>5</v>
      </c>
      <c r="D300">
        <v>1</v>
      </c>
      <c r="E300">
        <f t="shared" si="16"/>
        <v>5</v>
      </c>
    </row>
    <row r="301" spans="2:5">
      <c r="B301">
        <v>18</v>
      </c>
      <c r="C301">
        <v>4</v>
      </c>
      <c r="D301">
        <v>2</v>
      </c>
      <c r="E301">
        <f t="shared" si="16"/>
        <v>8</v>
      </c>
    </row>
    <row r="302" spans="2:5">
      <c r="B302">
        <v>19</v>
      </c>
      <c r="C302">
        <v>5</v>
      </c>
      <c r="D302">
        <v>1</v>
      </c>
      <c r="E302">
        <f t="shared" si="16"/>
        <v>5</v>
      </c>
    </row>
    <row r="303" spans="2:5">
      <c r="B303">
        <v>20</v>
      </c>
      <c r="C303">
        <v>4</v>
      </c>
      <c r="D303">
        <v>2</v>
      </c>
      <c r="E303">
        <f t="shared" si="16"/>
        <v>8</v>
      </c>
    </row>
    <row r="304" spans="2:5">
      <c r="B304" t="s">
        <v>1560</v>
      </c>
      <c r="C304">
        <v>6</v>
      </c>
    </row>
    <row r="305" spans="1:11">
      <c r="B305" t="s">
        <v>567</v>
      </c>
      <c r="C305">
        <v>20</v>
      </c>
      <c r="D305" t="s">
        <v>568</v>
      </c>
      <c r="E305">
        <f>SUM(E284:E303)</f>
        <v>132</v>
      </c>
    </row>
    <row r="306" spans="1:11">
      <c r="B306" t="s">
        <v>569</v>
      </c>
      <c r="C306">
        <f>1+1/2+1/3+1/4+1/5</f>
        <v>2.2833333333333332</v>
      </c>
    </row>
    <row r="307" spans="1:11">
      <c r="B307" t="s">
        <v>570</v>
      </c>
      <c r="E307">
        <f>C305/5000</f>
        <v>4.0000000000000001E-3</v>
      </c>
    </row>
    <row r="308" spans="1:11">
      <c r="B308" t="s">
        <v>571</v>
      </c>
      <c r="E308">
        <f>E305/15</f>
        <v>8.8000000000000007</v>
      </c>
    </row>
    <row r="309" spans="1:11">
      <c r="E309" t="s">
        <v>1558</v>
      </c>
      <c r="F309" t="s">
        <v>1559</v>
      </c>
      <c r="G309">
        <v>1</v>
      </c>
      <c r="H309">
        <v>2</v>
      </c>
      <c r="I309">
        <v>3</v>
      </c>
      <c r="J309">
        <v>4</v>
      </c>
      <c r="K309">
        <v>5</v>
      </c>
    </row>
    <row r="310" spans="1:11">
      <c r="B310" t="s">
        <v>1556</v>
      </c>
      <c r="E310">
        <f>C305/C306</f>
        <v>8.7591240875912408</v>
      </c>
      <c r="F310">
        <f>SUM(G310:K310)</f>
        <v>132.29154456817093</v>
      </c>
      <c r="G310">
        <f>$E$310/G309+($E$310/G309)^2</f>
        <v>85.481378869412339</v>
      </c>
      <c r="H310">
        <f t="shared" ref="H310:K310" si="17">$E$310/H309+($E$310/H309)^2</f>
        <v>23.560125739250893</v>
      </c>
      <c r="I310">
        <f t="shared" si="17"/>
        <v>11.444403004954978</v>
      </c>
      <c r="J310">
        <f t="shared" si="17"/>
        <v>6.9849219457616289</v>
      </c>
      <c r="K310">
        <f t="shared" si="17"/>
        <v>4.8207150087910922</v>
      </c>
    </row>
    <row r="311" spans="1:11">
      <c r="B311" t="s">
        <v>1557</v>
      </c>
      <c r="E311">
        <f>E308</f>
        <v>8.8000000000000007</v>
      </c>
      <c r="F311">
        <f>(C304+1)/(3*(C304-1))*E311+2*(C304^2+C304+3)/(9*C304*(C304-1))*E311^2</f>
        <v>29.92</v>
      </c>
    </row>
    <row r="312" spans="1:11">
      <c r="B312" t="s">
        <v>572</v>
      </c>
    </row>
    <row r="314" spans="1:11">
      <c r="A314" s="11" t="s">
        <v>573</v>
      </c>
      <c r="B314" t="s">
        <v>1561</v>
      </c>
      <c r="C314">
        <v>5</v>
      </c>
    </row>
    <row r="315" spans="1:11">
      <c r="B315" t="s">
        <v>1565</v>
      </c>
      <c r="C315" t="s">
        <v>1564</v>
      </c>
      <c r="D315" t="s">
        <v>1563</v>
      </c>
    </row>
    <row r="316" spans="1:11">
      <c r="B316" t="s">
        <v>574</v>
      </c>
      <c r="C316">
        <v>5</v>
      </c>
      <c r="D316">
        <f>2*$C$314/(C316*(C316-1))</f>
        <v>0.5</v>
      </c>
    </row>
    <row r="317" spans="1:11">
      <c r="B317" t="s">
        <v>575</v>
      </c>
      <c r="C317">
        <v>4</v>
      </c>
      <c r="D317">
        <f>2*$C$314/(C317*(C317-1))</f>
        <v>0.83333333333333337</v>
      </c>
    </row>
    <row r="318" spans="1:11">
      <c r="B318" t="s">
        <v>576</v>
      </c>
      <c r="C318">
        <v>3</v>
      </c>
      <c r="D318">
        <f>2*$C$314/(C318*(C318-1))</f>
        <v>1.6666666666666667</v>
      </c>
    </row>
    <row r="319" spans="1:11">
      <c r="B319" t="s">
        <v>577</v>
      </c>
      <c r="C319">
        <v>2</v>
      </c>
      <c r="D319">
        <f>2*$C$314/(C319*(C319-1))</f>
        <v>5</v>
      </c>
    </row>
    <row r="320" spans="1:11">
      <c r="B320" t="s">
        <v>578</v>
      </c>
      <c r="D320">
        <f>SUM(D316:D319)</f>
        <v>8</v>
      </c>
    </row>
    <row r="321" spans="1:7">
      <c r="B321" t="s">
        <v>579</v>
      </c>
      <c r="D321">
        <f>SUMPRODUCT(C316:C319,D316:D319)</f>
        <v>20.833333333333336</v>
      </c>
    </row>
    <row r="323" spans="1:7">
      <c r="F323" t="s">
        <v>1562</v>
      </c>
    </row>
    <row r="324" spans="1:7">
      <c r="A324" s="11" t="s">
        <v>580</v>
      </c>
      <c r="B324" t="s">
        <v>1566</v>
      </c>
      <c r="C324" t="s">
        <v>1567</v>
      </c>
      <c r="D324" s="14" t="s">
        <v>1568</v>
      </c>
      <c r="E324" t="s">
        <v>456</v>
      </c>
    </row>
    <row r="325" spans="1:7">
      <c r="B325">
        <v>500</v>
      </c>
      <c r="C325">
        <v>1E-3</v>
      </c>
      <c r="D325">
        <f>4*B325*C325</f>
        <v>2</v>
      </c>
      <c r="E325">
        <f>1/(D325+1)</f>
        <v>0.33333333333333331</v>
      </c>
    </row>
    <row r="327" spans="1:7">
      <c r="C327" t="s">
        <v>1569</v>
      </c>
      <c r="D327" t="s">
        <v>1575</v>
      </c>
    </row>
    <row r="328" spans="1:7">
      <c r="C328">
        <v>20</v>
      </c>
      <c r="D328">
        <v>2</v>
      </c>
    </row>
    <row r="329" spans="1:7">
      <c r="B329" t="s">
        <v>1572</v>
      </c>
      <c r="C329" s="6" t="s">
        <v>1573</v>
      </c>
      <c r="D329" t="s">
        <v>1570</v>
      </c>
      <c r="E329" t="s">
        <v>1571</v>
      </c>
      <c r="F329" t="s">
        <v>1576</v>
      </c>
      <c r="G329" t="s">
        <v>1577</v>
      </c>
    </row>
    <row r="330" spans="1:7">
      <c r="B330">
        <v>0</v>
      </c>
      <c r="C330">
        <f>$D$325+B330</f>
        <v>2</v>
      </c>
      <c r="D330">
        <v>1</v>
      </c>
      <c r="E330">
        <f>$C$328-D330</f>
        <v>19</v>
      </c>
      <c r="F330">
        <f>FACT($C$328)*$D$325^$D$328/(FACT($D$328)*D330*E330*$C$350)</f>
        <v>5.0125313283208017E-3</v>
      </c>
      <c r="G330">
        <f>F330/$F$340</f>
        <v>0.28857091730379097</v>
      </c>
    </row>
    <row r="331" spans="1:7">
      <c r="B331">
        <f>B330+1</f>
        <v>1</v>
      </c>
      <c r="C331">
        <f t="shared" ref="C331:C349" si="18">$D$325+B331</f>
        <v>3</v>
      </c>
      <c r="D331">
        <f>D330+1</f>
        <v>2</v>
      </c>
      <c r="E331">
        <f t="shared" ref="E331:E339" si="19">$C$328-D331</f>
        <v>18</v>
      </c>
      <c r="F331">
        <f t="shared" ref="F331:F339" si="20">FACT($C$328)*$D$325^$D$328/(FACT($D$328)*D331*E331*$C$350)</f>
        <v>2.6455026455026454E-3</v>
      </c>
      <c r="G331">
        <f t="shared" ref="G331:G339" si="21">F331/$F$340</f>
        <v>0.15230131746588968</v>
      </c>
    </row>
    <row r="332" spans="1:7">
      <c r="B332">
        <f t="shared" ref="B332:B349" si="22">B331+1</f>
        <v>2</v>
      </c>
      <c r="C332">
        <f t="shared" si="18"/>
        <v>4</v>
      </c>
      <c r="D332">
        <f t="shared" ref="D332:D339" si="23">D331+1</f>
        <v>3</v>
      </c>
      <c r="E332">
        <f t="shared" si="19"/>
        <v>17</v>
      </c>
      <c r="F332">
        <f t="shared" si="20"/>
        <v>1.8674136321195143E-3</v>
      </c>
      <c r="G332">
        <f t="shared" si="21"/>
        <v>0.1075068123288633</v>
      </c>
    </row>
    <row r="333" spans="1:7">
      <c r="B333">
        <f t="shared" si="22"/>
        <v>3</v>
      </c>
      <c r="C333">
        <f t="shared" si="18"/>
        <v>5</v>
      </c>
      <c r="D333">
        <f t="shared" si="23"/>
        <v>4</v>
      </c>
      <c r="E333">
        <f t="shared" si="19"/>
        <v>16</v>
      </c>
      <c r="F333">
        <f t="shared" si="20"/>
        <v>1.488095238095238E-3</v>
      </c>
      <c r="G333">
        <f t="shared" si="21"/>
        <v>8.5669491074562953E-2</v>
      </c>
    </row>
    <row r="334" spans="1:7">
      <c r="B334">
        <f t="shared" si="22"/>
        <v>4</v>
      </c>
      <c r="C334">
        <f t="shared" si="18"/>
        <v>6</v>
      </c>
      <c r="D334">
        <f t="shared" si="23"/>
        <v>5</v>
      </c>
      <c r="E334">
        <f t="shared" si="19"/>
        <v>15</v>
      </c>
      <c r="F334">
        <f t="shared" si="20"/>
        <v>1.2698412698412698E-3</v>
      </c>
      <c r="G334">
        <f t="shared" si="21"/>
        <v>7.310463238362705E-2</v>
      </c>
    </row>
    <row r="335" spans="1:7">
      <c r="B335">
        <f t="shared" si="22"/>
        <v>5</v>
      </c>
      <c r="C335">
        <f t="shared" si="18"/>
        <v>7</v>
      </c>
      <c r="D335">
        <f t="shared" si="23"/>
        <v>6</v>
      </c>
      <c r="E335">
        <f t="shared" si="19"/>
        <v>14</v>
      </c>
      <c r="F335">
        <f t="shared" si="20"/>
        <v>1.1337868480725624E-3</v>
      </c>
      <c r="G335">
        <f t="shared" si="21"/>
        <v>6.5271993199667019E-2</v>
      </c>
    </row>
    <row r="336" spans="1:7">
      <c r="B336">
        <f t="shared" si="22"/>
        <v>6</v>
      </c>
      <c r="C336">
        <f t="shared" si="18"/>
        <v>8</v>
      </c>
      <c r="D336">
        <f t="shared" si="23"/>
        <v>7</v>
      </c>
      <c r="E336">
        <f t="shared" si="19"/>
        <v>13</v>
      </c>
      <c r="F336">
        <f t="shared" si="20"/>
        <v>1.0465724751439036E-3</v>
      </c>
      <c r="G336">
        <f t="shared" si="21"/>
        <v>6.0251070645846463E-2</v>
      </c>
    </row>
    <row r="337" spans="2:7">
      <c r="B337">
        <f t="shared" si="22"/>
        <v>7</v>
      </c>
      <c r="C337">
        <f t="shared" si="18"/>
        <v>9</v>
      </c>
      <c r="D337">
        <f t="shared" si="23"/>
        <v>8</v>
      </c>
      <c r="E337">
        <f t="shared" si="19"/>
        <v>12</v>
      </c>
      <c r="F337">
        <f t="shared" si="20"/>
        <v>9.9206349206349201E-4</v>
      </c>
      <c r="G337">
        <f t="shared" si="21"/>
        <v>5.7112994049708633E-2</v>
      </c>
    </row>
    <row r="338" spans="2:7">
      <c r="B338">
        <f t="shared" si="22"/>
        <v>8</v>
      </c>
      <c r="C338">
        <f t="shared" si="18"/>
        <v>10</v>
      </c>
      <c r="D338">
        <f t="shared" si="23"/>
        <v>9</v>
      </c>
      <c r="E338">
        <f t="shared" si="19"/>
        <v>11</v>
      </c>
      <c r="F338">
        <f t="shared" si="20"/>
        <v>9.6200096200096193E-4</v>
      </c>
      <c r="G338">
        <f t="shared" si="21"/>
        <v>5.5382297260323524E-2</v>
      </c>
    </row>
    <row r="339" spans="2:7">
      <c r="B339">
        <f t="shared" si="22"/>
        <v>9</v>
      </c>
      <c r="C339">
        <f t="shared" si="18"/>
        <v>11</v>
      </c>
      <c r="D339">
        <f t="shared" si="23"/>
        <v>10</v>
      </c>
      <c r="E339">
        <f t="shared" si="19"/>
        <v>10</v>
      </c>
      <c r="F339">
        <f t="shared" si="20"/>
        <v>9.5238095238095238E-4</v>
      </c>
      <c r="G339">
        <f t="shared" si="21"/>
        <v>5.4828474287720294E-2</v>
      </c>
    </row>
    <row r="340" spans="2:7">
      <c r="B340">
        <f t="shared" si="22"/>
        <v>10</v>
      </c>
      <c r="C340">
        <f t="shared" si="18"/>
        <v>12</v>
      </c>
      <c r="D340" t="s">
        <v>1578</v>
      </c>
      <c r="F340">
        <f>SUM(F330:F339)</f>
        <v>1.7370188843541343E-2</v>
      </c>
    </row>
    <row r="341" spans="2:7">
      <c r="B341">
        <f t="shared" si="22"/>
        <v>11</v>
      </c>
      <c r="C341">
        <f t="shared" si="18"/>
        <v>13</v>
      </c>
    </row>
    <row r="342" spans="2:7">
      <c r="B342">
        <f t="shared" si="22"/>
        <v>12</v>
      </c>
      <c r="C342">
        <f t="shared" si="18"/>
        <v>14</v>
      </c>
    </row>
    <row r="343" spans="2:7">
      <c r="B343">
        <f>B342+1</f>
        <v>13</v>
      </c>
      <c r="C343">
        <f t="shared" si="18"/>
        <v>15</v>
      </c>
    </row>
    <row r="344" spans="2:7">
      <c r="B344">
        <f t="shared" si="22"/>
        <v>14</v>
      </c>
      <c r="C344">
        <f t="shared" si="18"/>
        <v>16</v>
      </c>
    </row>
    <row r="345" spans="2:7">
      <c r="B345">
        <f t="shared" si="22"/>
        <v>15</v>
      </c>
      <c r="C345">
        <f t="shared" si="18"/>
        <v>17</v>
      </c>
    </row>
    <row r="346" spans="2:7">
      <c r="B346">
        <f t="shared" si="22"/>
        <v>16</v>
      </c>
      <c r="C346">
        <f t="shared" si="18"/>
        <v>18</v>
      </c>
    </row>
    <row r="347" spans="2:7">
      <c r="B347">
        <f t="shared" si="22"/>
        <v>17</v>
      </c>
      <c r="C347">
        <f t="shared" si="18"/>
        <v>19</v>
      </c>
    </row>
    <row r="348" spans="2:7">
      <c r="B348">
        <f>B347+1</f>
        <v>18</v>
      </c>
      <c r="C348">
        <f t="shared" si="18"/>
        <v>20</v>
      </c>
    </row>
    <row r="349" spans="2:7">
      <c r="B349">
        <f t="shared" si="22"/>
        <v>19</v>
      </c>
      <c r="C349">
        <f t="shared" si="18"/>
        <v>21</v>
      </c>
    </row>
    <row r="350" spans="2:7" ht="16.2">
      <c r="B350" s="2" t="s">
        <v>1574</v>
      </c>
      <c r="C350">
        <f>PRODUCT(C330:C349)</f>
        <v>5.109094217170944E+19</v>
      </c>
    </row>
    <row r="354" spans="1:4">
      <c r="A354" s="11" t="s">
        <v>582</v>
      </c>
      <c r="B354" t="s">
        <v>363</v>
      </c>
      <c r="C354">
        <v>100</v>
      </c>
    </row>
    <row r="355" spans="1:4">
      <c r="B355" t="s">
        <v>364</v>
      </c>
      <c r="C355">
        <f>2*C354</f>
        <v>200</v>
      </c>
    </row>
    <row r="356" spans="1:4">
      <c r="B356" t="s">
        <v>583</v>
      </c>
      <c r="C356">
        <v>0.1</v>
      </c>
    </row>
    <row r="357" spans="1:4">
      <c r="B357" t="s">
        <v>581</v>
      </c>
      <c r="C357">
        <f>C354*C356</f>
        <v>10</v>
      </c>
    </row>
    <row r="358" spans="1:4">
      <c r="B358" t="s">
        <v>1581</v>
      </c>
      <c r="C358" t="s">
        <v>1582</v>
      </c>
    </row>
    <row r="359" spans="1:4">
      <c r="B359">
        <v>0</v>
      </c>
      <c r="C359">
        <v>1</v>
      </c>
    </row>
    <row r="360" spans="1:4">
      <c r="B360">
        <f>B359+1</f>
        <v>1</v>
      </c>
      <c r="C360">
        <f>(1/$C$355+(1-1/$C$355)*C359)*(1-$C$356)^2</f>
        <v>0.81</v>
      </c>
    </row>
    <row r="361" spans="1:4">
      <c r="B361">
        <f t="shared" ref="B361:B379" si="24">B360+1</f>
        <v>2</v>
      </c>
      <c r="C361" s="58">
        <f t="shared" ref="C361:C379" si="25">(1/$C$355+(1-1/$C$355)*C360)*(1-$C$356)^2</f>
        <v>0.65686950000000011</v>
      </c>
    </row>
    <row r="362" spans="1:4">
      <c r="B362">
        <f t="shared" si="24"/>
        <v>3</v>
      </c>
      <c r="C362" s="58">
        <f t="shared" si="25"/>
        <v>0.53345397352500012</v>
      </c>
    </row>
    <row r="363" spans="1:4">
      <c r="B363">
        <f t="shared" si="24"/>
        <v>4</v>
      </c>
      <c r="C363" s="58">
        <f t="shared" si="25"/>
        <v>0.43398722996247391</v>
      </c>
    </row>
    <row r="364" spans="1:4">
      <c r="B364">
        <f t="shared" si="24"/>
        <v>5</v>
      </c>
      <c r="C364" s="58">
        <f t="shared" si="25"/>
        <v>0.35382200798825586</v>
      </c>
    </row>
    <row r="365" spans="1:4">
      <c r="B365">
        <f t="shared" si="24"/>
        <v>6</v>
      </c>
      <c r="C365" s="58">
        <f t="shared" si="25"/>
        <v>0.28921284733813485</v>
      </c>
    </row>
    <row r="366" spans="1:4">
      <c r="B366">
        <f t="shared" si="24"/>
        <v>7</v>
      </c>
      <c r="C366" s="58">
        <f t="shared" si="25"/>
        <v>0.23714109431216979</v>
      </c>
    </row>
    <row r="367" spans="1:4">
      <c r="B367">
        <f t="shared" si="24"/>
        <v>8</v>
      </c>
      <c r="C367" s="60">
        <f t="shared" si="25"/>
        <v>0.19517386496089326</v>
      </c>
      <c r="D367" t="s">
        <v>1579</v>
      </c>
    </row>
    <row r="368" spans="1:4">
      <c r="B368">
        <f t="shared" si="24"/>
        <v>9</v>
      </c>
      <c r="C368" s="58">
        <f t="shared" si="25"/>
        <v>0.16135037646523193</v>
      </c>
    </row>
    <row r="369" spans="1:4">
      <c r="B369">
        <f t="shared" si="24"/>
        <v>10</v>
      </c>
      <c r="C369" s="58">
        <f t="shared" si="25"/>
        <v>0.13409033591215369</v>
      </c>
    </row>
    <row r="370" spans="1:4">
      <c r="B370">
        <f t="shared" si="24"/>
        <v>11</v>
      </c>
      <c r="C370" s="58">
        <f t="shared" si="25"/>
        <v>0.11212010622840028</v>
      </c>
    </row>
    <row r="371" spans="1:4">
      <c r="B371">
        <f t="shared" si="24"/>
        <v>12</v>
      </c>
      <c r="C371" s="58">
        <f t="shared" si="25"/>
        <v>9.4413199614779217E-2</v>
      </c>
    </row>
    <row r="372" spans="1:4">
      <c r="B372">
        <f t="shared" si="24"/>
        <v>13</v>
      </c>
      <c r="C372" s="58">
        <f t="shared" si="25"/>
        <v>8.0142318229531315E-2</v>
      </c>
    </row>
    <row r="373" spans="1:4">
      <c r="B373">
        <f t="shared" si="24"/>
        <v>14</v>
      </c>
      <c r="C373" s="58">
        <f t="shared" si="25"/>
        <v>6.8640701377090774E-2</v>
      </c>
    </row>
    <row r="374" spans="1:4">
      <c r="B374">
        <f t="shared" si="24"/>
        <v>15</v>
      </c>
      <c r="C374" s="58">
        <f t="shared" si="25"/>
        <v>5.9370973274866318E-2</v>
      </c>
    </row>
    <row r="375" spans="1:4">
      <c r="B375">
        <f t="shared" si="24"/>
        <v>16</v>
      </c>
      <c r="C375" s="58">
        <f t="shared" si="25"/>
        <v>5.1900035910878516E-2</v>
      </c>
    </row>
    <row r="376" spans="1:4">
      <c r="B376">
        <f t="shared" si="24"/>
        <v>17</v>
      </c>
      <c r="C376" s="58">
        <f t="shared" si="25"/>
        <v>4.5878833942372542E-2</v>
      </c>
    </row>
    <row r="377" spans="1:4">
      <c r="B377">
        <f t="shared" si="24"/>
        <v>18</v>
      </c>
      <c r="C377" s="58">
        <f t="shared" si="25"/>
        <v>4.102604621585515E-2</v>
      </c>
    </row>
    <row r="378" spans="1:4">
      <c r="B378">
        <f t="shared" si="24"/>
        <v>19</v>
      </c>
      <c r="C378" s="58">
        <f t="shared" si="25"/>
        <v>3.7114941947668456E-2</v>
      </c>
    </row>
    <row r="379" spans="1:4">
      <c r="B379">
        <f t="shared" si="24"/>
        <v>20</v>
      </c>
      <c r="C379" s="58">
        <f t="shared" si="25"/>
        <v>3.3962787462723389E-2</v>
      </c>
    </row>
    <row r="380" spans="1:4">
      <c r="B380" s="59" t="s">
        <v>584</v>
      </c>
      <c r="C380" s="60">
        <f>1/(1+4*C354*C356)</f>
        <v>2.4390243902439025E-2</v>
      </c>
      <c r="D380" t="s">
        <v>1580</v>
      </c>
    </row>
    <row r="382" spans="1:4">
      <c r="A382" s="11" t="s">
        <v>585</v>
      </c>
    </row>
    <row r="384" spans="1:4">
      <c r="A384" s="11" t="s">
        <v>586</v>
      </c>
    </row>
  </sheetData>
  <phoneticPr fontId="7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4"/>
  <sheetViews>
    <sheetView workbookViewId="0">
      <selection activeCell="H23" sqref="H23"/>
    </sheetView>
  </sheetViews>
  <sheetFormatPr defaultRowHeight="14.4"/>
  <cols>
    <col min="3" max="6" width="9.5546875" bestFit="1" customWidth="1"/>
    <col min="7" max="7" width="10.5546875" bestFit="1" customWidth="1"/>
    <col min="8" max="8" width="9.6640625" bestFit="1" customWidth="1"/>
    <col min="9" max="9" width="9.5546875" bestFit="1" customWidth="1"/>
    <col min="10" max="10" width="10.6640625" customWidth="1"/>
  </cols>
  <sheetData>
    <row r="1" spans="1:28">
      <c r="A1" s="11" t="s">
        <v>1992</v>
      </c>
      <c r="B1" t="s">
        <v>587</v>
      </c>
      <c r="C1" t="s">
        <v>588</v>
      </c>
      <c r="D1" t="s">
        <v>169</v>
      </c>
      <c r="E1" t="s">
        <v>1993</v>
      </c>
      <c r="F1" t="s">
        <v>1994</v>
      </c>
      <c r="G1" t="s">
        <v>1995</v>
      </c>
      <c r="H1" t="s">
        <v>1996</v>
      </c>
      <c r="I1" t="s">
        <v>588</v>
      </c>
      <c r="J1" t="s">
        <v>1997</v>
      </c>
      <c r="K1" t="s">
        <v>1995</v>
      </c>
      <c r="L1" t="s">
        <v>1996</v>
      </c>
    </row>
    <row r="2" spans="1:28">
      <c r="B2" t="s">
        <v>589</v>
      </c>
      <c r="C2">
        <v>54</v>
      </c>
      <c r="D2">
        <v>5</v>
      </c>
      <c r="E2" s="13">
        <f>D2/$D$13</f>
        <v>1.001001001001001E-3</v>
      </c>
      <c r="F2" s="13">
        <f>_xlfn.NORM.DIST(C2+1,$D$14,SQRT($D$15),1)-_xlfn.NORM.DIST(C2-1,$D$14,SQRT($D$15),1)</f>
        <v>1.2887063784425771E-3</v>
      </c>
      <c r="G2" s="39">
        <f>F2*D$13</f>
        <v>6.437088360320673</v>
      </c>
      <c r="H2" s="13">
        <f>(D2-G2)^2/G2</f>
        <v>0.32083184815351495</v>
      </c>
      <c r="I2">
        <v>54</v>
      </c>
      <c r="J2">
        <f t="shared" ref="J2:J12" si="0">D2/10</f>
        <v>0.5</v>
      </c>
      <c r="K2" s="39">
        <f>F2*J$13</f>
        <v>0.6437088360320673</v>
      </c>
      <c r="L2" s="13"/>
      <c r="U2" s="13"/>
      <c r="V2" s="13"/>
      <c r="W2" s="39"/>
      <c r="X2" s="13"/>
      <c r="AA2" s="39"/>
      <c r="AB2" s="13"/>
    </row>
    <row r="3" spans="1:28">
      <c r="B3" t="s">
        <v>590</v>
      </c>
      <c r="C3">
        <v>56</v>
      </c>
      <c r="D3">
        <v>33</v>
      </c>
      <c r="E3" s="13">
        <f t="shared" ref="E3:E12" si="1">D3/$D$13</f>
        <v>6.6066066066066062E-3</v>
      </c>
      <c r="F3" s="13">
        <f t="shared" ref="F3:F12" si="2">_xlfn.NORM.DIST(C3+1,$D$14,SQRT($D$15),1)-_xlfn.NORM.DIST(C3-1,$D$14,SQRT($D$15),1)</f>
        <v>1.0844034755364381E-2</v>
      </c>
      <c r="G3" s="39">
        <f t="shared" ref="G3:G11" si="3">F3*D$13</f>
        <v>54.165953603045082</v>
      </c>
      <c r="H3" s="13">
        <f>(D3-G3)^2/G3</f>
        <v>8.2708336533573323</v>
      </c>
      <c r="I3">
        <v>56</v>
      </c>
      <c r="J3">
        <f t="shared" si="0"/>
        <v>3.3</v>
      </c>
      <c r="K3" s="39">
        <f t="shared" ref="K3:K12" si="4">F3*J$13</f>
        <v>5.4165953603045081</v>
      </c>
      <c r="L3" s="13">
        <f>(J3+J2-K3-K2)^2/(K3+K2)</f>
        <v>0.84302287384601637</v>
      </c>
      <c r="U3" s="13"/>
      <c r="V3" s="13"/>
      <c r="W3" s="39"/>
      <c r="X3" s="13"/>
      <c r="AA3" s="39"/>
      <c r="AB3" s="13"/>
    </row>
    <row r="4" spans="1:28">
      <c r="B4" t="s">
        <v>591</v>
      </c>
      <c r="C4">
        <v>58</v>
      </c>
      <c r="D4">
        <v>254</v>
      </c>
      <c r="E4" s="13">
        <f t="shared" si="1"/>
        <v>5.0850850850850851E-2</v>
      </c>
      <c r="F4" s="13">
        <f t="shared" si="2"/>
        <v>5.3663206608752699E-2</v>
      </c>
      <c r="G4" s="39">
        <f t="shared" si="3"/>
        <v>268.04771701071974</v>
      </c>
      <c r="H4" s="13">
        <f t="shared" ref="H4:H10" si="5">(D4-G4)^2/G4</f>
        <v>0.73620605843612807</v>
      </c>
      <c r="I4">
        <v>58</v>
      </c>
      <c r="J4">
        <f t="shared" si="0"/>
        <v>25.4</v>
      </c>
      <c r="K4" s="39">
        <f t="shared" si="4"/>
        <v>26.804771701071974</v>
      </c>
      <c r="L4" s="13">
        <f t="shared" ref="L4:L9" si="6">(J4-K4)^2/K4</f>
        <v>7.3620605843613032E-2</v>
      </c>
      <c r="U4" s="13"/>
      <c r="V4" s="13"/>
      <c r="W4" s="39"/>
      <c r="X4" s="13"/>
      <c r="AA4" s="39"/>
      <c r="AB4" s="13"/>
    </row>
    <row r="5" spans="1:28">
      <c r="B5" t="s">
        <v>592</v>
      </c>
      <c r="C5">
        <v>60</v>
      </c>
      <c r="D5">
        <v>813</v>
      </c>
      <c r="E5" s="13">
        <f t="shared" si="1"/>
        <v>0.16276276276276277</v>
      </c>
      <c r="F5" s="13">
        <f t="shared" si="2"/>
        <v>0.15645290835610501</v>
      </c>
      <c r="G5" s="39">
        <f t="shared" si="3"/>
        <v>781.48227723874447</v>
      </c>
      <c r="H5" s="13">
        <f t="shared" si="5"/>
        <v>1.2711316391784135</v>
      </c>
      <c r="I5">
        <v>60</v>
      </c>
      <c r="J5">
        <f t="shared" si="0"/>
        <v>81.3</v>
      </c>
      <c r="K5" s="39">
        <f t="shared" si="4"/>
        <v>78.148227723874456</v>
      </c>
      <c r="L5" s="13">
        <f t="shared" si="6"/>
        <v>0.12711316391784044</v>
      </c>
      <c r="U5" s="13"/>
      <c r="V5" s="13"/>
      <c r="W5" s="39"/>
      <c r="X5" s="13"/>
      <c r="AA5" s="39"/>
      <c r="AB5" s="13"/>
    </row>
    <row r="6" spans="1:28">
      <c r="B6" t="s">
        <v>593</v>
      </c>
      <c r="C6">
        <v>62</v>
      </c>
      <c r="D6">
        <v>1340</v>
      </c>
      <c r="E6" s="13">
        <f t="shared" si="1"/>
        <v>0.26826826826826827</v>
      </c>
      <c r="F6" s="13">
        <f t="shared" si="2"/>
        <v>0.26908532947660013</v>
      </c>
      <c r="G6" s="39">
        <f t="shared" si="3"/>
        <v>1344.0812207356178</v>
      </c>
      <c r="H6" s="13">
        <f t="shared" si="5"/>
        <v>1.2392378106228086E-2</v>
      </c>
      <c r="I6">
        <v>62</v>
      </c>
      <c r="J6">
        <f t="shared" si="0"/>
        <v>134</v>
      </c>
      <c r="K6" s="39">
        <f t="shared" si="4"/>
        <v>134.40812207356177</v>
      </c>
      <c r="L6" s="13">
        <f t="shared" si="6"/>
        <v>1.239237810622774E-3</v>
      </c>
      <c r="U6" s="13"/>
      <c r="V6" s="13"/>
      <c r="W6" s="39"/>
      <c r="X6" s="13"/>
      <c r="AA6" s="39"/>
      <c r="AB6" s="13"/>
    </row>
    <row r="7" spans="1:28">
      <c r="B7" t="s">
        <v>594</v>
      </c>
      <c r="C7">
        <v>64</v>
      </c>
      <c r="D7">
        <v>1454</v>
      </c>
      <c r="E7" s="13">
        <f t="shared" si="1"/>
        <v>0.2910910910910911</v>
      </c>
      <c r="F7" s="13">
        <f t="shared" si="2"/>
        <v>0.27321831989976858</v>
      </c>
      <c r="G7" s="39">
        <f t="shared" si="3"/>
        <v>1364.7255078993442</v>
      </c>
      <c r="H7" s="13">
        <f t="shared" si="5"/>
        <v>5.8399545503460217</v>
      </c>
      <c r="I7">
        <v>64</v>
      </c>
      <c r="J7">
        <f t="shared" si="0"/>
        <v>145.4</v>
      </c>
      <c r="K7" s="39">
        <f t="shared" si="4"/>
        <v>136.47255078993442</v>
      </c>
      <c r="L7" s="13">
        <f t="shared" si="6"/>
        <v>0.58399545503460293</v>
      </c>
      <c r="U7" s="13"/>
      <c r="V7" s="13"/>
      <c r="W7" s="39"/>
      <c r="X7" s="13"/>
      <c r="AA7" s="39"/>
      <c r="AB7" s="13"/>
    </row>
    <row r="8" spans="1:28">
      <c r="B8" t="s">
        <v>595</v>
      </c>
      <c r="C8">
        <v>66</v>
      </c>
      <c r="D8">
        <v>750</v>
      </c>
      <c r="E8" s="13">
        <f t="shared" si="1"/>
        <v>0.15015015015015015</v>
      </c>
      <c r="F8" s="13">
        <f t="shared" si="2"/>
        <v>0.16377668412286761</v>
      </c>
      <c r="G8" s="39">
        <f t="shared" si="3"/>
        <v>818.06453719372371</v>
      </c>
      <c r="H8" s="13">
        <f t="shared" si="5"/>
        <v>5.6630999300960063</v>
      </c>
      <c r="I8">
        <v>66</v>
      </c>
      <c r="J8">
        <f t="shared" si="0"/>
        <v>75</v>
      </c>
      <c r="K8" s="39">
        <f t="shared" si="4"/>
        <v>81.806453719372371</v>
      </c>
      <c r="L8" s="13">
        <f t="shared" si="6"/>
        <v>0.5663099930096005</v>
      </c>
      <c r="U8" s="13"/>
      <c r="V8" s="13"/>
      <c r="W8" s="39"/>
      <c r="X8" s="13"/>
      <c r="AA8" s="39"/>
      <c r="AB8" s="13"/>
    </row>
    <row r="9" spans="1:28">
      <c r="B9" t="s">
        <v>596</v>
      </c>
      <c r="C9">
        <v>68</v>
      </c>
      <c r="D9">
        <v>275</v>
      </c>
      <c r="E9" s="13">
        <f t="shared" si="1"/>
        <v>5.5055055055055056E-2</v>
      </c>
      <c r="F9" s="13">
        <f t="shared" si="2"/>
        <v>5.7918807836424446E-2</v>
      </c>
      <c r="G9" s="39">
        <f t="shared" si="3"/>
        <v>289.3044451429401</v>
      </c>
      <c r="H9" s="13">
        <f t="shared" si="5"/>
        <v>0.70727275118875155</v>
      </c>
      <c r="I9">
        <v>68</v>
      </c>
      <c r="J9">
        <f t="shared" si="0"/>
        <v>27.5</v>
      </c>
      <c r="K9" s="39">
        <f t="shared" si="4"/>
        <v>28.93044451429401</v>
      </c>
      <c r="L9" s="13">
        <f t="shared" si="6"/>
        <v>7.0727275118875152E-2</v>
      </c>
      <c r="U9" s="13"/>
      <c r="V9" s="13"/>
      <c r="W9" s="39"/>
      <c r="X9" s="13"/>
      <c r="AA9" s="39"/>
      <c r="AB9" s="13"/>
    </row>
    <row r="10" spans="1:28">
      <c r="B10" t="s">
        <v>597</v>
      </c>
      <c r="C10">
        <v>70</v>
      </c>
      <c r="D10">
        <v>56</v>
      </c>
      <c r="E10" s="13">
        <f t="shared" si="1"/>
        <v>1.121121121121121E-2</v>
      </c>
      <c r="F10" s="13">
        <f t="shared" si="2"/>
        <v>1.2068351668952482E-2</v>
      </c>
      <c r="G10" s="39">
        <f t="shared" si="3"/>
        <v>60.281416586417649</v>
      </c>
      <c r="H10" s="13">
        <f t="shared" si="5"/>
        <v>0.30408256846741571</v>
      </c>
      <c r="I10">
        <v>70</v>
      </c>
      <c r="J10">
        <f t="shared" si="0"/>
        <v>5.6</v>
      </c>
      <c r="K10" s="39">
        <f t="shared" si="4"/>
        <v>6.0281416586417649</v>
      </c>
      <c r="L10" s="13">
        <f>(J10+J11+J12-K10-K11-K12)^2/(K10+K11+K12)</f>
        <v>1.1490987532787798E-2</v>
      </c>
      <c r="U10" s="13"/>
      <c r="V10" s="13"/>
      <c r="W10" s="39"/>
      <c r="X10" s="13"/>
      <c r="AA10" s="39"/>
      <c r="AB10" s="13"/>
    </row>
    <row r="11" spans="1:28">
      <c r="B11" t="s">
        <v>598</v>
      </c>
      <c r="C11">
        <v>72</v>
      </c>
      <c r="D11">
        <v>11</v>
      </c>
      <c r="E11" s="13">
        <f t="shared" si="1"/>
        <v>2.2022022022022024E-3</v>
      </c>
      <c r="F11" s="13">
        <f t="shared" si="2"/>
        <v>1.4790187074485983E-3</v>
      </c>
      <c r="G11" s="39">
        <f t="shared" si="3"/>
        <v>7.3876984437057489</v>
      </c>
      <c r="H11" s="13">
        <f>(D11+D12-G11-G12)^2/(G11+G12)</f>
        <v>6.331331481303442</v>
      </c>
      <c r="I11">
        <v>72</v>
      </c>
      <c r="J11">
        <f t="shared" si="0"/>
        <v>1.1000000000000001</v>
      </c>
      <c r="K11" s="39">
        <f t="shared" si="4"/>
        <v>0.7387698443705748</v>
      </c>
      <c r="L11" s="13"/>
      <c r="U11" s="13"/>
      <c r="V11" s="13"/>
      <c r="W11" s="39"/>
      <c r="X11" s="13"/>
      <c r="AA11" s="39"/>
      <c r="AB11" s="13"/>
    </row>
    <row r="12" spans="1:28">
      <c r="B12" t="s">
        <v>599</v>
      </c>
      <c r="C12">
        <v>74</v>
      </c>
      <c r="D12">
        <v>4</v>
      </c>
      <c r="E12" s="13">
        <f t="shared" si="1"/>
        <v>8.0080080080080084E-4</v>
      </c>
      <c r="F12" s="13">
        <f t="shared" si="2"/>
        <v>1.063935136642602E-4</v>
      </c>
      <c r="G12" s="39">
        <f>F12*D$13</f>
        <v>0.53143560075297969</v>
      </c>
      <c r="H12" s="13"/>
      <c r="I12">
        <v>74</v>
      </c>
      <c r="J12">
        <f t="shared" si="0"/>
        <v>0.4</v>
      </c>
      <c r="K12" s="39">
        <f t="shared" si="4"/>
        <v>5.3143560075297969E-2</v>
      </c>
      <c r="L12" s="13"/>
      <c r="U12" s="13"/>
      <c r="V12" s="13"/>
      <c r="W12" s="39"/>
      <c r="X12" s="13"/>
      <c r="AA12" s="39"/>
      <c r="AB12" s="13"/>
    </row>
    <row r="13" spans="1:28">
      <c r="B13" t="s">
        <v>1998</v>
      </c>
      <c r="D13">
        <f>SUM(D2:D12)</f>
        <v>4995</v>
      </c>
      <c r="E13">
        <f>SUM(E2:E12)</f>
        <v>0.99999999999999989</v>
      </c>
      <c r="J13">
        <f>SUM(J2:J12)</f>
        <v>499.5</v>
      </c>
    </row>
    <row r="14" spans="1:28">
      <c r="B14" s="59" t="s">
        <v>1999</v>
      </c>
      <c r="C14" s="59"/>
      <c r="D14" s="59">
        <f>SUMPRODUCT(E2:E12,C2:C12)</f>
        <v>63.057857857857854</v>
      </c>
      <c r="E14" s="59"/>
      <c r="F14" s="59"/>
      <c r="G14" s="59" t="s">
        <v>2000</v>
      </c>
      <c r="H14" s="63">
        <f>SUM(H2:H11)</f>
        <v>29.457136858633255</v>
      </c>
      <c r="I14" s="59"/>
      <c r="J14" s="59"/>
      <c r="K14" s="59" t="s">
        <v>2001</v>
      </c>
      <c r="L14" s="13">
        <f>SUM(L3:L10)</f>
        <v>2.277519592113959</v>
      </c>
      <c r="R14" s="59"/>
      <c r="S14" s="59"/>
      <c r="T14" s="59"/>
      <c r="U14" s="59"/>
      <c r="V14" s="59"/>
      <c r="W14" s="59"/>
      <c r="X14" s="63"/>
      <c r="Y14" s="59"/>
      <c r="Z14" s="59"/>
      <c r="AA14" s="59"/>
      <c r="AB14" s="13"/>
    </row>
    <row r="15" spans="1:28">
      <c r="B15" s="59" t="s">
        <v>2002</v>
      </c>
      <c r="C15" s="59"/>
      <c r="D15" s="59">
        <f>SUMPRODUCT(E2:E12,(C2:C12)^2)-D14^2</f>
        <v>7.2493051209371515</v>
      </c>
      <c r="E15" s="59"/>
      <c r="F15" s="59"/>
      <c r="G15" s="59" t="s">
        <v>2003</v>
      </c>
      <c r="H15" s="13">
        <f>_xlfn.CHISQ.DIST.RT(H14,10-1-2)</f>
        <v>1.1938696987961037E-4</v>
      </c>
      <c r="I15" s="59"/>
      <c r="J15" s="59"/>
      <c r="K15" s="59" t="s">
        <v>2004</v>
      </c>
      <c r="L15" s="13">
        <f>_xlfn.CHISQ.DIST.RT(L14,8-1-2)</f>
        <v>0.80956291425517468</v>
      </c>
      <c r="R15" s="59"/>
      <c r="S15" s="59"/>
      <c r="T15" s="59"/>
      <c r="U15" s="59"/>
      <c r="V15" s="59"/>
      <c r="W15" s="59"/>
      <c r="X15" s="13"/>
      <c r="Y15" s="59"/>
      <c r="Z15" s="59"/>
      <c r="AA15" s="59"/>
      <c r="AB15" s="13"/>
    </row>
    <row r="16" spans="1:28">
      <c r="B16" s="59" t="s">
        <v>2005</v>
      </c>
      <c r="C16" s="59"/>
      <c r="D16" s="59">
        <f>SQRT(D15)</f>
        <v>2.6924533646726645</v>
      </c>
      <c r="E16" s="59"/>
      <c r="F16" s="59"/>
      <c r="G16" s="11" t="s">
        <v>2010</v>
      </c>
      <c r="J16" s="59"/>
      <c r="K16" s="59"/>
      <c r="L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</row>
    <row r="17" spans="1:11">
      <c r="G17" t="s">
        <v>2006</v>
      </c>
    </row>
    <row r="18" spans="1:11">
      <c r="G18" t="s">
        <v>2007</v>
      </c>
    </row>
    <row r="19" spans="1:11">
      <c r="G19" t="s">
        <v>2008</v>
      </c>
      <c r="H19">
        <f>$D$14+$D$16*_xlfn.NORM.S.INV(0.025)</f>
        <v>57.780746233045747</v>
      </c>
      <c r="I19">
        <f>$D$14+$D$16*_xlfn.NORM.S.INV(0.975)</f>
        <v>68.334969482669962</v>
      </c>
      <c r="J19">
        <f>H19-$D$14</f>
        <v>-5.2771116248121075</v>
      </c>
      <c r="K19">
        <f>I19-$D$14</f>
        <v>5.2771116248121075</v>
      </c>
    </row>
    <row r="20" spans="1:11">
      <c r="G20" t="s">
        <v>2009</v>
      </c>
      <c r="H20">
        <f>$D$14+$D$16*_xlfn.NORM.S.INV(0.005)</f>
        <v>56.122557582695173</v>
      </c>
      <c r="I20">
        <f>$D$14+$D$16*_xlfn.NORM.S.INV(0.995)</f>
        <v>69.993158133020529</v>
      </c>
      <c r="J20">
        <f>H20-$D$14</f>
        <v>-6.9353002751626818</v>
      </c>
      <c r="K20">
        <f>I20-$D$14</f>
        <v>6.9353002751626747</v>
      </c>
    </row>
    <row r="21" spans="1:11">
      <c r="A21" s="11" t="s">
        <v>602</v>
      </c>
      <c r="B21" t="s">
        <v>1583</v>
      </c>
      <c r="C21" t="s">
        <v>471</v>
      </c>
      <c r="D21" t="s">
        <v>600</v>
      </c>
      <c r="E21" t="s">
        <v>603</v>
      </c>
    </row>
    <row r="22" spans="1:11">
      <c r="B22" t="s">
        <v>604</v>
      </c>
      <c r="C22" s="23">
        <v>3.03</v>
      </c>
      <c r="D22" s="23">
        <v>211</v>
      </c>
      <c r="E22" s="23">
        <f>D22-1</f>
        <v>210</v>
      </c>
    </row>
    <row r="23" spans="1:11">
      <c r="B23" t="s">
        <v>605</v>
      </c>
      <c r="C23" s="23">
        <v>5.64</v>
      </c>
      <c r="D23" s="23">
        <v>173</v>
      </c>
      <c r="E23" s="23">
        <f t="shared" ref="E23:E24" si="7">D23-1</f>
        <v>172</v>
      </c>
    </row>
    <row r="24" spans="1:11">
      <c r="B24" t="s">
        <v>9</v>
      </c>
      <c r="C24" s="23">
        <v>8.6199999999999992</v>
      </c>
      <c r="D24" s="23">
        <v>168</v>
      </c>
      <c r="E24" s="23">
        <f t="shared" si="7"/>
        <v>167</v>
      </c>
    </row>
    <row r="25" spans="1:11">
      <c r="B25" t="s">
        <v>606</v>
      </c>
      <c r="C25">
        <f>AVERAGE(C22:C24)</f>
        <v>5.7633333333333328</v>
      </c>
    </row>
    <row r="26" spans="1:11">
      <c r="B26" t="s">
        <v>607</v>
      </c>
      <c r="C26">
        <f>SUMPRODUCT(E22:E24,C22:C24)/E26</f>
        <v>5.5481238615664843</v>
      </c>
      <c r="E26" s="23">
        <f>SUM(E22:E24)</f>
        <v>549</v>
      </c>
    </row>
    <row r="28" spans="1:11">
      <c r="A28" s="11" t="s">
        <v>608</v>
      </c>
      <c r="B28" s="59"/>
      <c r="C28" s="59"/>
      <c r="D28" s="59"/>
      <c r="E28" s="59"/>
      <c r="F28" s="59"/>
      <c r="G28" s="59" t="s">
        <v>601</v>
      </c>
    </row>
    <row r="29" spans="1:11">
      <c r="B29" s="59" t="s">
        <v>609</v>
      </c>
      <c r="C29" s="59">
        <v>20</v>
      </c>
      <c r="D29" s="59">
        <v>30</v>
      </c>
      <c r="E29" s="59">
        <v>40</v>
      </c>
      <c r="F29" s="59">
        <v>50</v>
      </c>
      <c r="G29" s="59">
        <f>_xlfn.VAR.S(C29:F29)</f>
        <v>166.66666666666666</v>
      </c>
      <c r="I29" s="59" t="s">
        <v>609</v>
      </c>
      <c r="J29" s="59" t="s">
        <v>610</v>
      </c>
    </row>
    <row r="30" spans="1:11">
      <c r="B30" s="59" t="s">
        <v>610</v>
      </c>
      <c r="C30" s="59">
        <v>47.5</v>
      </c>
      <c r="D30" s="59">
        <v>45</v>
      </c>
      <c r="E30" s="59">
        <v>45.1</v>
      </c>
      <c r="F30" s="59">
        <v>45.8</v>
      </c>
      <c r="G30" s="59">
        <f>_xlfn.VAR.S(C30:F30)</f>
        <v>1.336666666666666</v>
      </c>
      <c r="I30" s="59">
        <v>20</v>
      </c>
      <c r="J30" s="59">
        <v>47.5</v>
      </c>
    </row>
    <row r="31" spans="1:11">
      <c r="B31" s="59" t="s">
        <v>611</v>
      </c>
      <c r="C31" s="59"/>
      <c r="D31" s="59"/>
      <c r="E31" s="59"/>
      <c r="F31" s="59"/>
      <c r="G31" s="59">
        <f>_xlfn.COVARIANCE.S(C29:F29,C30:F30)</f>
        <v>-8.3333333333333446</v>
      </c>
      <c r="I31" s="59">
        <v>30</v>
      </c>
      <c r="J31" s="59">
        <v>45</v>
      </c>
    </row>
    <row r="32" spans="1:11">
      <c r="B32" s="59" t="s">
        <v>612</v>
      </c>
      <c r="C32" s="59"/>
      <c r="D32" s="59"/>
      <c r="E32" s="59"/>
      <c r="F32" s="59"/>
      <c r="G32" s="59">
        <f>CORREL(C29:F29,C30:F30)</f>
        <v>-0.5583195306044425</v>
      </c>
      <c r="I32" s="59">
        <v>40</v>
      </c>
      <c r="J32" s="59">
        <v>45.1</v>
      </c>
    </row>
    <row r="33" spans="2:10">
      <c r="B33" s="59" t="s">
        <v>1586</v>
      </c>
      <c r="C33" s="59"/>
      <c r="D33" s="59"/>
      <c r="E33" s="59"/>
      <c r="F33" s="59"/>
      <c r="G33" s="59">
        <f>G32/SQRT((1-G32^2)/2)</f>
        <v>-0.95173373453360333</v>
      </c>
      <c r="I33" s="59">
        <v>50</v>
      </c>
      <c r="J33" s="59">
        <v>45.8</v>
      </c>
    </row>
    <row r="34" spans="2:10">
      <c r="B34" s="59" t="s">
        <v>1585</v>
      </c>
      <c r="C34" s="59"/>
      <c r="D34" s="59"/>
      <c r="E34" s="59"/>
      <c r="F34" s="59"/>
      <c r="G34" s="59">
        <f>_xlfn.T.DIST.2T(ABS(G33),2)</f>
        <v>0.4416804693955575</v>
      </c>
    </row>
    <row r="35" spans="2:10">
      <c r="B35" t="s">
        <v>1584</v>
      </c>
      <c r="G35">
        <f>G31/G29</f>
        <v>-5.0000000000000072E-2</v>
      </c>
    </row>
    <row r="37" spans="2:10">
      <c r="B37" t="s">
        <v>1591</v>
      </c>
    </row>
    <row r="38" spans="2:10">
      <c r="B38" t="s">
        <v>613</v>
      </c>
    </row>
    <row r="39" spans="2:10" ht="15" thickBot="1"/>
    <row r="40" spans="2:10">
      <c r="B40" s="24" t="s">
        <v>614</v>
      </c>
    </row>
    <row r="41" spans="2:10">
      <c r="B41" s="25" t="s">
        <v>615</v>
      </c>
      <c r="C41">
        <v>0.55831953060444239</v>
      </c>
    </row>
    <row r="42" spans="2:10">
      <c r="B42" s="25" t="s">
        <v>616</v>
      </c>
      <c r="C42">
        <v>0.31172069825436494</v>
      </c>
    </row>
    <row r="43" spans="2:10">
      <c r="B43" s="25" t="s">
        <v>617</v>
      </c>
      <c r="C43">
        <v>-3.2418952618452623E-2</v>
      </c>
    </row>
    <row r="44" spans="2:10">
      <c r="B44" s="25" t="s">
        <v>618</v>
      </c>
      <c r="C44">
        <v>1.174734012447072</v>
      </c>
    </row>
    <row r="45" spans="2:10" ht="15" thickBot="1">
      <c r="B45" s="26" t="s">
        <v>619</v>
      </c>
      <c r="C45">
        <v>4</v>
      </c>
    </row>
    <row r="47" spans="2:10" ht="15" thickBot="1">
      <c r="B47" t="s">
        <v>620</v>
      </c>
    </row>
    <row r="48" spans="2:10">
      <c r="B48" s="27" t="s">
        <v>1592</v>
      </c>
      <c r="C48" s="27" t="s">
        <v>1603</v>
      </c>
      <c r="D48" s="27" t="s">
        <v>1587</v>
      </c>
      <c r="E48" s="27" t="s">
        <v>1588</v>
      </c>
      <c r="F48" s="27" t="s">
        <v>1589</v>
      </c>
      <c r="G48" s="27" t="s">
        <v>1590</v>
      </c>
    </row>
    <row r="49" spans="1:10">
      <c r="B49" s="25" t="s">
        <v>626</v>
      </c>
      <c r="C49" s="25">
        <v>1</v>
      </c>
      <c r="D49" s="25">
        <v>1.2500000000000027</v>
      </c>
      <c r="E49" s="25">
        <v>1.2500000000000027</v>
      </c>
      <c r="F49" s="25">
        <v>0.90579710144927883</v>
      </c>
      <c r="G49" s="25">
        <v>0.44168046939555761</v>
      </c>
    </row>
    <row r="50" spans="1:10">
      <c r="B50" s="25" t="s">
        <v>627</v>
      </c>
      <c r="C50" s="25">
        <v>2</v>
      </c>
      <c r="D50" s="25">
        <v>2.7599999999999953</v>
      </c>
      <c r="E50" s="25">
        <v>1.3799999999999977</v>
      </c>
      <c r="F50" s="25"/>
      <c r="G50" s="25"/>
    </row>
    <row r="51" spans="1:10" ht="15" thickBot="1">
      <c r="B51" s="26" t="s">
        <v>628</v>
      </c>
      <c r="C51" s="26">
        <v>3</v>
      </c>
      <c r="D51" s="26">
        <v>4.009999999999998</v>
      </c>
      <c r="E51" s="26"/>
      <c r="F51" s="26"/>
      <c r="G51" s="26"/>
    </row>
    <row r="52" spans="1:10" ht="15" thickBot="1"/>
    <row r="53" spans="1:10">
      <c r="B53" s="27"/>
      <c r="C53" s="27" t="s">
        <v>629</v>
      </c>
      <c r="D53" s="27" t="s">
        <v>618</v>
      </c>
      <c r="E53" s="27" t="s">
        <v>630</v>
      </c>
      <c r="F53" s="27" t="s">
        <v>631</v>
      </c>
      <c r="G53" s="27" t="s">
        <v>632</v>
      </c>
      <c r="H53" s="27" t="s">
        <v>633</v>
      </c>
      <c r="I53" s="27" t="s">
        <v>634</v>
      </c>
      <c r="J53" s="27" t="s">
        <v>635</v>
      </c>
    </row>
    <row r="54" spans="1:10">
      <c r="B54" s="25" t="s">
        <v>636</v>
      </c>
      <c r="C54" s="25">
        <v>47.599999999999994</v>
      </c>
      <c r="D54" s="25">
        <v>1.930284953057448</v>
      </c>
      <c r="E54" s="25">
        <v>24.659571595688313</v>
      </c>
      <c r="F54" s="25">
        <v>1.6404359298162463E-3</v>
      </c>
      <c r="G54" s="25">
        <v>39.294654177533047</v>
      </c>
      <c r="H54" s="25">
        <v>55.905345822466941</v>
      </c>
      <c r="I54" s="25">
        <v>39.294654177533047</v>
      </c>
      <c r="J54" s="25">
        <v>55.905345822466941</v>
      </c>
    </row>
    <row r="55" spans="1:10" ht="15" thickBot="1">
      <c r="B55" s="26" t="s">
        <v>637</v>
      </c>
      <c r="C55" s="26">
        <v>-5.0000000000000079E-2</v>
      </c>
      <c r="D55" s="26">
        <v>5.2535702146254748E-2</v>
      </c>
      <c r="E55" s="26">
        <v>-0.95173373453360344</v>
      </c>
      <c r="F55" s="26">
        <v>0.4416804693955575</v>
      </c>
      <c r="G55" s="26">
        <v>-0.27604288224888784</v>
      </c>
      <c r="H55" s="26">
        <v>0.17604288224888767</v>
      </c>
      <c r="I55" s="26">
        <v>-0.27604288224888784</v>
      </c>
      <c r="J55" s="26">
        <v>0.17604288224888767</v>
      </c>
    </row>
    <row r="57" spans="1:10">
      <c r="A57" s="11" t="s">
        <v>638</v>
      </c>
      <c r="B57" t="s">
        <v>1599</v>
      </c>
      <c r="C57" t="s">
        <v>1604</v>
      </c>
      <c r="D57" t="s">
        <v>1595</v>
      </c>
      <c r="E57" t="s">
        <v>1596</v>
      </c>
      <c r="F57" t="s">
        <v>1593</v>
      </c>
      <c r="G57" t="s">
        <v>1594</v>
      </c>
    </row>
    <row r="58" spans="1:10">
      <c r="B58">
        <v>0</v>
      </c>
      <c r="C58">
        <f>12+B58*2</f>
        <v>12</v>
      </c>
      <c r="D58">
        <v>0</v>
      </c>
      <c r="E58">
        <v>1</v>
      </c>
      <c r="F58">
        <v>0</v>
      </c>
      <c r="G58">
        <f t="shared" ref="G58:G64" si="8">_xlfn.BINOM.DIST(B58,6,0.5,0)</f>
        <v>1.5625000000000007E-2</v>
      </c>
    </row>
    <row r="59" spans="1:10">
      <c r="B59">
        <v>1</v>
      </c>
      <c r="C59">
        <f t="shared" ref="C59:C64" si="9">12+B59*2</f>
        <v>14</v>
      </c>
      <c r="D59">
        <v>0</v>
      </c>
      <c r="E59">
        <v>0</v>
      </c>
      <c r="F59">
        <v>0</v>
      </c>
      <c r="G59">
        <f t="shared" si="8"/>
        <v>9.375E-2</v>
      </c>
    </row>
    <row r="60" spans="1:10">
      <c r="B60">
        <v>2</v>
      </c>
      <c r="C60">
        <f t="shared" si="9"/>
        <v>16</v>
      </c>
      <c r="D60">
        <v>0</v>
      </c>
      <c r="E60">
        <v>0</v>
      </c>
      <c r="F60">
        <v>0</v>
      </c>
      <c r="G60">
        <f t="shared" si="8"/>
        <v>0.23437500000000003</v>
      </c>
    </row>
    <row r="61" spans="1:10">
      <c r="B61">
        <v>3</v>
      </c>
      <c r="C61">
        <f t="shared" si="9"/>
        <v>18</v>
      </c>
      <c r="D61">
        <v>0</v>
      </c>
      <c r="E61">
        <v>0</v>
      </c>
      <c r="F61">
        <v>1</v>
      </c>
      <c r="G61">
        <f t="shared" si="8"/>
        <v>0.31249999999999994</v>
      </c>
    </row>
    <row r="62" spans="1:10">
      <c r="B62">
        <v>4</v>
      </c>
      <c r="C62">
        <f t="shared" si="9"/>
        <v>20</v>
      </c>
      <c r="D62">
        <v>0</v>
      </c>
      <c r="E62">
        <v>0</v>
      </c>
      <c r="F62">
        <v>0</v>
      </c>
      <c r="G62">
        <f t="shared" si="8"/>
        <v>0.23437500000000003</v>
      </c>
    </row>
    <row r="63" spans="1:10">
      <c r="B63">
        <v>5</v>
      </c>
      <c r="C63">
        <f t="shared" si="9"/>
        <v>22</v>
      </c>
      <c r="D63">
        <v>0</v>
      </c>
      <c r="E63">
        <v>0</v>
      </c>
      <c r="F63">
        <v>0</v>
      </c>
      <c r="G63">
        <f t="shared" si="8"/>
        <v>9.375E-2</v>
      </c>
    </row>
    <row r="64" spans="1:10">
      <c r="B64">
        <v>6</v>
      </c>
      <c r="C64">
        <f t="shared" si="9"/>
        <v>24</v>
      </c>
      <c r="D64">
        <v>1</v>
      </c>
      <c r="E64">
        <v>0</v>
      </c>
      <c r="F64">
        <v>0</v>
      </c>
      <c r="G64">
        <f t="shared" si="8"/>
        <v>1.5625000000000007E-2</v>
      </c>
    </row>
    <row r="65" spans="2:10">
      <c r="B65" t="s">
        <v>1597</v>
      </c>
      <c r="D65">
        <f>SUMPRODUCT(D58:D64,$C$58:$C$64)</f>
        <v>24</v>
      </c>
      <c r="E65">
        <f t="shared" ref="E65:G65" si="10">SUMPRODUCT(E58:E64,$C$58:$C$64)</f>
        <v>12</v>
      </c>
      <c r="F65">
        <f t="shared" si="10"/>
        <v>18</v>
      </c>
      <c r="G65">
        <f t="shared" si="10"/>
        <v>18</v>
      </c>
    </row>
    <row r="66" spans="2:10">
      <c r="B66" t="s">
        <v>1598</v>
      </c>
      <c r="D66">
        <f>SUMPRODUCT(D58:D64,($C$58:$C$64)^2)-D65^2</f>
        <v>0</v>
      </c>
      <c r="E66">
        <f t="shared" ref="E66:F66" si="11">SUMPRODUCT(E58:E64,($C$58:$C$64)^2)-E65^2</f>
        <v>0</v>
      </c>
      <c r="F66">
        <f t="shared" si="11"/>
        <v>0</v>
      </c>
      <c r="G66">
        <f>SUMPRODUCT(G58:G64,($C$58:$C$64)^2)-G65^2</f>
        <v>6</v>
      </c>
    </row>
    <row r="68" spans="2:10">
      <c r="B68" t="s">
        <v>734</v>
      </c>
      <c r="C68">
        <v>12</v>
      </c>
      <c r="D68">
        <v>14</v>
      </c>
      <c r="E68">
        <v>16</v>
      </c>
      <c r="F68">
        <v>18</v>
      </c>
      <c r="G68">
        <v>20</v>
      </c>
      <c r="H68">
        <v>22</v>
      </c>
      <c r="I68">
        <v>24</v>
      </c>
    </row>
    <row r="69" spans="2:10">
      <c r="B69" t="s">
        <v>639</v>
      </c>
      <c r="C69">
        <v>2</v>
      </c>
      <c r="D69">
        <v>2</v>
      </c>
      <c r="E69">
        <v>2</v>
      </c>
      <c r="F69">
        <v>2</v>
      </c>
      <c r="G69">
        <v>2</v>
      </c>
      <c r="H69">
        <v>2</v>
      </c>
      <c r="I69">
        <v>2</v>
      </c>
    </row>
    <row r="70" spans="2:10">
      <c r="B70" t="s">
        <v>78</v>
      </c>
      <c r="C70">
        <f>G58</f>
        <v>1.5625000000000007E-2</v>
      </c>
      <c r="D70">
        <f>G59</f>
        <v>9.375E-2</v>
      </c>
      <c r="E70">
        <f>G60</f>
        <v>0.23437500000000003</v>
      </c>
      <c r="F70">
        <f>G61</f>
        <v>0.31249999999999994</v>
      </c>
      <c r="G70">
        <f>G62</f>
        <v>0.23437500000000003</v>
      </c>
      <c r="H70">
        <f>G63</f>
        <v>9.375E-2</v>
      </c>
      <c r="I70">
        <f>G64</f>
        <v>1.5625000000000007E-2</v>
      </c>
    </row>
    <row r="72" spans="2:10">
      <c r="C72" t="s">
        <v>1602</v>
      </c>
    </row>
    <row r="73" spans="2:10">
      <c r="B73" t="s">
        <v>1601</v>
      </c>
      <c r="C73">
        <v>0</v>
      </c>
      <c r="D73">
        <v>1</v>
      </c>
      <c r="E73">
        <v>2</v>
      </c>
      <c r="F73">
        <v>3</v>
      </c>
      <c r="G73">
        <v>4</v>
      </c>
      <c r="H73">
        <v>5</v>
      </c>
      <c r="I73">
        <v>6</v>
      </c>
      <c r="J73" t="s">
        <v>1600</v>
      </c>
    </row>
    <row r="74" spans="2:10">
      <c r="B74">
        <v>8</v>
      </c>
      <c r="C74" s="13"/>
      <c r="D74" s="13"/>
      <c r="E74" s="13"/>
      <c r="F74" s="13"/>
      <c r="G74" s="13"/>
      <c r="H74" s="13"/>
      <c r="I74" s="13"/>
      <c r="J74" s="13"/>
    </row>
    <row r="75" spans="2:10">
      <c r="B75">
        <f>B74+1</f>
        <v>9</v>
      </c>
      <c r="C75" s="13">
        <f t="shared" ref="C75:I93" si="12">C$70*_xlfn.NORM.DIST($B75,C$68,SQRT(C$69),0)</f>
        <v>4.6457144227980273E-4</v>
      </c>
      <c r="D75" s="13"/>
      <c r="E75" s="13"/>
      <c r="F75" s="13"/>
      <c r="G75" s="13"/>
      <c r="H75" s="13"/>
      <c r="I75" s="13"/>
      <c r="J75" s="13">
        <f t="shared" ref="J75:J93" si="13">SUM(C75:I75)</f>
        <v>4.6457144227980273E-4</v>
      </c>
    </row>
    <row r="76" spans="2:10">
      <c r="B76">
        <f t="shared" ref="B76:B94" si="14">B75+1</f>
        <v>10</v>
      </c>
      <c r="C76" s="13">
        <f t="shared" si="12"/>
        <v>1.621513661799199E-3</v>
      </c>
      <c r="D76" s="13">
        <f t="shared" si="12"/>
        <v>4.8438246923653287E-4</v>
      </c>
      <c r="E76" s="13"/>
      <c r="F76" s="13"/>
      <c r="G76" s="13"/>
      <c r="H76" s="13"/>
      <c r="I76" s="13"/>
      <c r="J76" s="13">
        <f t="shared" si="13"/>
        <v>2.1058961310357321E-3</v>
      </c>
    </row>
    <row r="77" spans="2:10">
      <c r="B77">
        <f t="shared" si="14"/>
        <v>11</v>
      </c>
      <c r="C77" s="13">
        <f t="shared" si="12"/>
        <v>3.4327444489665828E-3</v>
      </c>
      <c r="D77" s="13">
        <f t="shared" si="12"/>
        <v>2.7874286536788149E-3</v>
      </c>
      <c r="E77" s="13">
        <f t="shared" si="12"/>
        <v>1.2763384162222923E-4</v>
      </c>
      <c r="F77" s="13"/>
      <c r="G77" s="13"/>
      <c r="H77" s="13"/>
      <c r="I77" s="13"/>
      <c r="J77" s="13">
        <f t="shared" si="13"/>
        <v>6.3478069442676277E-3</v>
      </c>
    </row>
    <row r="78" spans="2:10">
      <c r="B78">
        <f t="shared" si="14"/>
        <v>12</v>
      </c>
      <c r="C78" s="13">
        <f t="shared" si="12"/>
        <v>4.4077311214668477E-3</v>
      </c>
      <c r="D78" s="13">
        <f t="shared" si="12"/>
        <v>9.7290819707951896E-3</v>
      </c>
      <c r="E78" s="13">
        <f t="shared" si="12"/>
        <v>1.2109561730913323E-3</v>
      </c>
      <c r="F78" s="13"/>
      <c r="G78" s="13"/>
      <c r="H78" s="13"/>
      <c r="I78" s="13"/>
      <c r="J78" s="13">
        <f t="shared" si="13"/>
        <v>1.5347769265353368E-2</v>
      </c>
    </row>
    <row r="79" spans="2:10">
      <c r="B79">
        <f t="shared" si="14"/>
        <v>13</v>
      </c>
      <c r="C79" s="13">
        <f t="shared" si="12"/>
        <v>3.4327444489665828E-3</v>
      </c>
      <c r="D79" s="13">
        <f t="shared" si="12"/>
        <v>2.0596466693799487E-2</v>
      </c>
      <c r="E79" s="13">
        <f t="shared" si="12"/>
        <v>6.9685716341970384E-3</v>
      </c>
      <c r="F79" s="13">
        <f t="shared" si="12"/>
        <v>1.7017845549630557E-4</v>
      </c>
      <c r="G79" s="13"/>
      <c r="H79" s="13"/>
      <c r="I79" s="13"/>
      <c r="J79" s="13">
        <f t="shared" si="13"/>
        <v>3.1167961232459414E-2</v>
      </c>
    </row>
    <row r="80" spans="2:10">
      <c r="B80">
        <f t="shared" si="14"/>
        <v>14</v>
      </c>
      <c r="C80" s="13">
        <f t="shared" si="12"/>
        <v>1.621513661799199E-3</v>
      </c>
      <c r="D80" s="13">
        <f t="shared" si="12"/>
        <v>2.6446386728801077E-2</v>
      </c>
      <c r="E80" s="13">
        <f t="shared" si="12"/>
        <v>2.4322704926987977E-2</v>
      </c>
      <c r="F80" s="13">
        <f t="shared" si="12"/>
        <v>1.6146082307884426E-3</v>
      </c>
      <c r="G80" s="13"/>
      <c r="H80" s="13"/>
      <c r="I80" s="13"/>
      <c r="J80" s="13">
        <f t="shared" si="13"/>
        <v>5.4005213548376695E-2</v>
      </c>
    </row>
    <row r="81" spans="1:10">
      <c r="B81">
        <f t="shared" si="14"/>
        <v>15</v>
      </c>
      <c r="C81" s="13">
        <f t="shared" si="12"/>
        <v>4.6457144227980273E-4</v>
      </c>
      <c r="D81" s="13">
        <f t="shared" si="12"/>
        <v>2.0596466693799487E-2</v>
      </c>
      <c r="E81" s="13">
        <f t="shared" si="12"/>
        <v>5.1491166734498724E-2</v>
      </c>
      <c r="F81" s="13">
        <f t="shared" si="12"/>
        <v>9.2914288455960489E-3</v>
      </c>
      <c r="G81" s="13">
        <f t="shared" si="12"/>
        <v>1.2763384162222923E-4</v>
      </c>
      <c r="H81" s="13"/>
      <c r="I81" s="13"/>
      <c r="J81" s="13">
        <f t="shared" si="13"/>
        <v>8.1971267557796296E-2</v>
      </c>
    </row>
    <row r="82" spans="1:10">
      <c r="B82">
        <f t="shared" si="14"/>
        <v>16</v>
      </c>
      <c r="C82" s="13"/>
      <c r="D82" s="13">
        <f t="shared" si="12"/>
        <v>9.7290819707951896E-3</v>
      </c>
      <c r="E82" s="13">
        <f t="shared" si="12"/>
        <v>6.61159668220027E-2</v>
      </c>
      <c r="F82" s="13">
        <f t="shared" si="12"/>
        <v>3.2430273235983964E-2</v>
      </c>
      <c r="G82" s="13">
        <f t="shared" si="12"/>
        <v>1.2109561730913323E-3</v>
      </c>
      <c r="H82" s="13"/>
      <c r="I82" s="13"/>
      <c r="J82" s="13">
        <f t="shared" si="13"/>
        <v>0.10948627820187319</v>
      </c>
    </row>
    <row r="83" spans="1:10">
      <c r="B83">
        <f t="shared" si="14"/>
        <v>17</v>
      </c>
      <c r="C83" s="13"/>
      <c r="D83" s="13">
        <f t="shared" si="12"/>
        <v>2.7874286536788149E-3</v>
      </c>
      <c r="E83" s="13">
        <f t="shared" si="12"/>
        <v>5.1491166734498724E-2</v>
      </c>
      <c r="F83" s="13">
        <f t="shared" si="12"/>
        <v>6.8654888979331613E-2</v>
      </c>
      <c r="G83" s="13">
        <f t="shared" si="12"/>
        <v>6.9685716341970384E-3</v>
      </c>
      <c r="H83" s="13"/>
      <c r="I83" s="13"/>
      <c r="J83" s="13">
        <f t="shared" si="13"/>
        <v>0.12990205600170618</v>
      </c>
    </row>
    <row r="84" spans="1:10">
      <c r="B84">
        <f t="shared" si="14"/>
        <v>18</v>
      </c>
      <c r="C84" s="13"/>
      <c r="D84" s="13">
        <f t="shared" si="12"/>
        <v>4.8438246923653287E-4</v>
      </c>
      <c r="E84" s="13">
        <f t="shared" si="12"/>
        <v>2.4322704926987977E-2</v>
      </c>
      <c r="F84" s="13">
        <f t="shared" si="12"/>
        <v>8.8154622429336901E-2</v>
      </c>
      <c r="G84" s="13">
        <f t="shared" si="12"/>
        <v>2.4322704926987977E-2</v>
      </c>
      <c r="H84" s="13">
        <f t="shared" si="12"/>
        <v>4.8438246923653287E-4</v>
      </c>
      <c r="I84" s="13"/>
      <c r="J84" s="13">
        <f t="shared" si="13"/>
        <v>0.13776879722178595</v>
      </c>
    </row>
    <row r="85" spans="1:10">
      <c r="B85">
        <f t="shared" si="14"/>
        <v>19</v>
      </c>
      <c r="C85" s="13"/>
      <c r="D85" s="13"/>
      <c r="E85" s="13">
        <f t="shared" si="12"/>
        <v>6.9685716341970384E-3</v>
      </c>
      <c r="F85" s="13">
        <f t="shared" si="12"/>
        <v>6.8654888979331613E-2</v>
      </c>
      <c r="G85" s="13">
        <f t="shared" si="12"/>
        <v>5.1491166734498724E-2</v>
      </c>
      <c r="H85" s="13">
        <f t="shared" si="12"/>
        <v>2.7874286536788149E-3</v>
      </c>
      <c r="I85" s="13"/>
      <c r="J85" s="13">
        <f t="shared" si="13"/>
        <v>0.12990205600170618</v>
      </c>
    </row>
    <row r="86" spans="1:10">
      <c r="B86">
        <f t="shared" si="14"/>
        <v>20</v>
      </c>
      <c r="C86" s="13"/>
      <c r="D86" s="13"/>
      <c r="E86" s="13">
        <f t="shared" si="12"/>
        <v>1.2109561730913323E-3</v>
      </c>
      <c r="F86" s="13">
        <f t="shared" si="12"/>
        <v>3.2430273235983964E-2</v>
      </c>
      <c r="G86" s="13">
        <f t="shared" si="12"/>
        <v>6.61159668220027E-2</v>
      </c>
      <c r="H86" s="13">
        <f t="shared" si="12"/>
        <v>9.7290819707951896E-3</v>
      </c>
      <c r="I86" s="13"/>
      <c r="J86" s="13">
        <f t="shared" si="13"/>
        <v>0.10948627820187319</v>
      </c>
    </row>
    <row r="87" spans="1:10">
      <c r="B87">
        <f t="shared" si="14"/>
        <v>21</v>
      </c>
      <c r="C87" s="13"/>
      <c r="D87" s="13"/>
      <c r="E87" s="13">
        <f t="shared" si="12"/>
        <v>1.2763384162222923E-4</v>
      </c>
      <c r="F87" s="13">
        <f t="shared" si="12"/>
        <v>9.2914288455960489E-3</v>
      </c>
      <c r="G87" s="13">
        <f t="shared" si="12"/>
        <v>5.1491166734498724E-2</v>
      </c>
      <c r="H87" s="13">
        <f t="shared" si="12"/>
        <v>2.0596466693799487E-2</v>
      </c>
      <c r="I87" s="13">
        <f t="shared" si="12"/>
        <v>4.6457144227980273E-4</v>
      </c>
      <c r="J87" s="13">
        <f t="shared" si="13"/>
        <v>8.1971267557796296E-2</v>
      </c>
    </row>
    <row r="88" spans="1:10">
      <c r="B88">
        <f t="shared" si="14"/>
        <v>22</v>
      </c>
      <c r="C88" s="13"/>
      <c r="D88" s="13"/>
      <c r="E88" s="13"/>
      <c r="F88" s="13">
        <f t="shared" si="12"/>
        <v>1.6146082307884426E-3</v>
      </c>
      <c r="G88" s="13">
        <f t="shared" si="12"/>
        <v>2.4322704926987977E-2</v>
      </c>
      <c r="H88" s="13">
        <f t="shared" si="12"/>
        <v>2.6446386728801077E-2</v>
      </c>
      <c r="I88" s="13">
        <f t="shared" si="12"/>
        <v>1.621513661799199E-3</v>
      </c>
      <c r="J88" s="13">
        <f t="shared" si="13"/>
        <v>5.4005213548376695E-2</v>
      </c>
    </row>
    <row r="89" spans="1:10">
      <c r="B89">
        <f t="shared" si="14"/>
        <v>23</v>
      </c>
      <c r="C89" s="13"/>
      <c r="D89" s="13"/>
      <c r="E89" s="13"/>
      <c r="F89" s="13">
        <f t="shared" si="12"/>
        <v>1.7017845549630557E-4</v>
      </c>
      <c r="G89" s="13">
        <f t="shared" si="12"/>
        <v>6.9685716341970384E-3</v>
      </c>
      <c r="H89" s="13">
        <f t="shared" si="12"/>
        <v>2.0596466693799487E-2</v>
      </c>
      <c r="I89" s="13">
        <f t="shared" si="12"/>
        <v>3.4327444489665828E-3</v>
      </c>
      <c r="J89" s="13">
        <f t="shared" si="13"/>
        <v>3.1167961232459417E-2</v>
      </c>
    </row>
    <row r="90" spans="1:10">
      <c r="B90">
        <f t="shared" si="14"/>
        <v>24</v>
      </c>
      <c r="C90" s="13"/>
      <c r="D90" s="13"/>
      <c r="E90" s="13"/>
      <c r="F90" s="13"/>
      <c r="G90" s="13">
        <f t="shared" si="12"/>
        <v>1.2109561730913323E-3</v>
      </c>
      <c r="H90" s="13">
        <f t="shared" si="12"/>
        <v>9.7290819707951896E-3</v>
      </c>
      <c r="I90" s="13">
        <f t="shared" si="12"/>
        <v>4.4077311214668477E-3</v>
      </c>
      <c r="J90" s="13">
        <f t="shared" si="13"/>
        <v>1.5347769265353368E-2</v>
      </c>
    </row>
    <row r="91" spans="1:10">
      <c r="B91">
        <f>B90+1</f>
        <v>25</v>
      </c>
      <c r="C91" s="13"/>
      <c r="D91" s="13"/>
      <c r="E91" s="13"/>
      <c r="F91" s="13"/>
      <c r="G91" s="13">
        <f t="shared" si="12"/>
        <v>1.2763384162222923E-4</v>
      </c>
      <c r="H91" s="13">
        <f t="shared" si="12"/>
        <v>2.7874286536788149E-3</v>
      </c>
      <c r="I91" s="13">
        <f t="shared" si="12"/>
        <v>3.4327444489665828E-3</v>
      </c>
      <c r="J91" s="13">
        <f t="shared" si="13"/>
        <v>6.3478069442676269E-3</v>
      </c>
    </row>
    <row r="92" spans="1:10">
      <c r="B92">
        <f t="shared" si="14"/>
        <v>26</v>
      </c>
      <c r="C92" s="13"/>
      <c r="D92" s="13"/>
      <c r="E92" s="13"/>
      <c r="F92" s="13"/>
      <c r="G92" s="13"/>
      <c r="H92" s="13">
        <f t="shared" si="12"/>
        <v>4.8438246923653287E-4</v>
      </c>
      <c r="I92" s="13">
        <f t="shared" si="12"/>
        <v>1.621513661799199E-3</v>
      </c>
      <c r="J92" s="13">
        <f t="shared" si="13"/>
        <v>2.1058961310357321E-3</v>
      </c>
    </row>
    <row r="93" spans="1:10">
      <c r="B93">
        <f t="shared" si="14"/>
        <v>27</v>
      </c>
      <c r="C93" s="13"/>
      <c r="D93" s="13"/>
      <c r="E93" s="13"/>
      <c r="F93" s="13"/>
      <c r="G93" s="13"/>
      <c r="H93" s="13"/>
      <c r="I93" s="13">
        <f t="shared" si="12"/>
        <v>4.6457144227980273E-4</v>
      </c>
      <c r="J93" s="13">
        <f t="shared" si="13"/>
        <v>4.6457144227980273E-4</v>
      </c>
    </row>
    <row r="94" spans="1:10">
      <c r="B94">
        <f t="shared" si="14"/>
        <v>28</v>
      </c>
      <c r="C94" s="13"/>
      <c r="D94" s="13"/>
      <c r="E94" s="13"/>
      <c r="F94" s="13"/>
      <c r="G94" s="13"/>
      <c r="H94" s="13"/>
      <c r="I94" s="13"/>
      <c r="J94" s="13"/>
    </row>
    <row r="96" spans="1:10">
      <c r="A96" s="11" t="s">
        <v>640</v>
      </c>
      <c r="B96" s="4" t="s">
        <v>641</v>
      </c>
    </row>
    <row r="98" spans="1:10">
      <c r="A98" s="11" t="s">
        <v>642</v>
      </c>
      <c r="C98" s="28" t="s">
        <v>643</v>
      </c>
      <c r="D98" s="28" t="s">
        <v>644</v>
      </c>
      <c r="E98" t="s">
        <v>4</v>
      </c>
      <c r="G98" s="2" t="s">
        <v>645</v>
      </c>
      <c r="H98" s="2" t="s">
        <v>646</v>
      </c>
      <c r="I98" s="2" t="s">
        <v>646</v>
      </c>
      <c r="J98" s="2" t="s">
        <v>645</v>
      </c>
    </row>
    <row r="99" spans="1:10">
      <c r="C99" t="s">
        <v>391</v>
      </c>
      <c r="D99">
        <v>0.75</v>
      </c>
      <c r="E99">
        <v>0.25</v>
      </c>
      <c r="G99" s="1">
        <v>5</v>
      </c>
      <c r="H99" s="1">
        <f>0.75^G99</f>
        <v>0.2373046875</v>
      </c>
      <c r="I99" s="2">
        <v>0.05</v>
      </c>
      <c r="J99" s="2">
        <f>LN(I99)/LN(0.75)</f>
        <v>10.413343619304303</v>
      </c>
    </row>
    <row r="100" spans="1:10">
      <c r="B100" t="s">
        <v>647</v>
      </c>
      <c r="E100">
        <f>D99^5</f>
        <v>0.2373046875</v>
      </c>
      <c r="G100" s="2">
        <v>6</v>
      </c>
      <c r="H100" s="2">
        <f>0.75^G100</f>
        <v>0.177978515625</v>
      </c>
      <c r="I100" s="2">
        <v>0.01</v>
      </c>
      <c r="J100" s="2">
        <f>LN(I100)/LN(0.75)</f>
        <v>16.007845559302186</v>
      </c>
    </row>
    <row r="101" spans="1:10" ht="16.8">
      <c r="B101" t="s">
        <v>648</v>
      </c>
      <c r="C101" t="s">
        <v>649</v>
      </c>
      <c r="E101">
        <f>LN(0.05)/LN(0.75)</f>
        <v>10.413343619304303</v>
      </c>
      <c r="G101" s="2">
        <v>7</v>
      </c>
      <c r="H101" s="2">
        <f t="shared" ref="H101:H108" si="15">0.75^G101</f>
        <v>0.13348388671875</v>
      </c>
      <c r="I101" s="2"/>
      <c r="J101" s="2"/>
    </row>
    <row r="102" spans="1:10">
      <c r="B102" t="s">
        <v>650</v>
      </c>
      <c r="E102">
        <f>LN(0.01)/LN(0.75)</f>
        <v>16.007845559302186</v>
      </c>
      <c r="G102" s="2">
        <v>8</v>
      </c>
      <c r="H102" s="2">
        <f t="shared" si="15"/>
        <v>0.1001129150390625</v>
      </c>
      <c r="I102" s="2"/>
      <c r="J102" s="2"/>
    </row>
    <row r="103" spans="1:10" s="2" customFormat="1" ht="13.8">
      <c r="G103" s="2">
        <v>9</v>
      </c>
      <c r="H103" s="2">
        <f t="shared" si="15"/>
        <v>7.5084686279296875E-2</v>
      </c>
    </row>
    <row r="104" spans="1:10" s="2" customFormat="1" ht="13.8">
      <c r="G104" s="2">
        <v>10</v>
      </c>
      <c r="H104" s="2">
        <f t="shared" si="15"/>
        <v>5.6313514709472656E-2</v>
      </c>
    </row>
    <row r="105" spans="1:10" s="2" customFormat="1" ht="13.8">
      <c r="G105" s="1">
        <v>11</v>
      </c>
      <c r="H105" s="1">
        <f t="shared" si="15"/>
        <v>4.2235136032104492E-2</v>
      </c>
    </row>
    <row r="106" spans="1:10" s="2" customFormat="1" ht="13.8">
      <c r="G106" s="2">
        <v>12</v>
      </c>
      <c r="H106" s="2">
        <f>0.75^G106</f>
        <v>3.1676352024078369E-2</v>
      </c>
    </row>
    <row r="107" spans="1:10" s="2" customFormat="1" ht="13.8">
      <c r="G107" s="2">
        <v>13</v>
      </c>
      <c r="H107" s="2">
        <f t="shared" si="15"/>
        <v>2.3757264018058777E-2</v>
      </c>
    </row>
    <row r="108" spans="1:10" s="2" customFormat="1" ht="13.8">
      <c r="G108" s="2">
        <v>14</v>
      </c>
      <c r="H108" s="2">
        <f t="shared" si="15"/>
        <v>1.7817948013544083E-2</v>
      </c>
    </row>
    <row r="109" spans="1:10" s="2" customFormat="1" ht="13.8">
      <c r="G109" s="2">
        <v>15</v>
      </c>
      <c r="H109" s="2">
        <f>0.75^G109</f>
        <v>1.3363461010158062E-2</v>
      </c>
    </row>
    <row r="110" spans="1:10" s="2" customFormat="1" ht="13.8">
      <c r="G110" s="2">
        <v>16</v>
      </c>
      <c r="H110" s="2">
        <f t="shared" ref="H110:H111" si="16">0.75^G110</f>
        <v>1.0022595757618546E-2</v>
      </c>
    </row>
    <row r="111" spans="1:10" s="2" customFormat="1" ht="13.8">
      <c r="G111" s="1">
        <v>17</v>
      </c>
      <c r="H111" s="1">
        <f t="shared" si="16"/>
        <v>7.5169468182139099E-3</v>
      </c>
    </row>
    <row r="112" spans="1:10" s="2" customFormat="1" ht="13.8"/>
    <row r="113" spans="1:6" ht="16.8">
      <c r="A113" s="11" t="s">
        <v>651</v>
      </c>
      <c r="B113" t="s">
        <v>205</v>
      </c>
      <c r="C113">
        <v>0</v>
      </c>
      <c r="D113">
        <v>1</v>
      </c>
      <c r="F113" t="s">
        <v>652</v>
      </c>
    </row>
    <row r="114" spans="1:6">
      <c r="B114" t="s">
        <v>391</v>
      </c>
      <c r="C114" t="s">
        <v>653</v>
      </c>
      <c r="D114" t="s">
        <v>5</v>
      </c>
      <c r="F114" t="s">
        <v>654</v>
      </c>
    </row>
    <row r="115" spans="1:6">
      <c r="B115" t="s">
        <v>655</v>
      </c>
      <c r="F115" t="s">
        <v>656</v>
      </c>
    </row>
    <row r="116" spans="1:6" ht="16.8">
      <c r="B116" t="s">
        <v>657</v>
      </c>
    </row>
    <row r="118" spans="1:6" ht="16.8">
      <c r="A118" s="11" t="s">
        <v>658</v>
      </c>
      <c r="B118" t="s">
        <v>659</v>
      </c>
    </row>
    <row r="119" spans="1:6" ht="16.8">
      <c r="B119" t="s">
        <v>660</v>
      </c>
    </row>
    <row r="121" spans="1:6">
      <c r="A121" s="11" t="s">
        <v>661</v>
      </c>
      <c r="B121" t="s">
        <v>1605</v>
      </c>
    </row>
    <row r="123" spans="1:6" ht="16.8">
      <c r="A123" s="11" t="s">
        <v>662</v>
      </c>
      <c r="B123" t="s">
        <v>663</v>
      </c>
    </row>
    <row r="125" spans="1:6" ht="18">
      <c r="A125" s="11" t="s">
        <v>664</v>
      </c>
      <c r="B125" t="s">
        <v>1606</v>
      </c>
    </row>
    <row r="126" spans="1:6" ht="18">
      <c r="B126" s="14" t="s">
        <v>1607</v>
      </c>
    </row>
    <row r="127" spans="1:6" ht="18">
      <c r="B127" s="43" t="s">
        <v>1609</v>
      </c>
    </row>
    <row r="128" spans="1:6">
      <c r="A128" t="s">
        <v>1608</v>
      </c>
    </row>
    <row r="129" spans="1:3">
      <c r="A129" s="11" t="s">
        <v>665</v>
      </c>
      <c r="B129" t="s">
        <v>666</v>
      </c>
    </row>
    <row r="130" spans="1:3">
      <c r="B130" t="s">
        <v>667</v>
      </c>
    </row>
    <row r="131" spans="1:3">
      <c r="B131" t="s">
        <v>668</v>
      </c>
    </row>
    <row r="133" spans="1:3">
      <c r="A133" s="11" t="s">
        <v>669</v>
      </c>
      <c r="B133" t="s">
        <v>670</v>
      </c>
      <c r="C133" t="s">
        <v>671</v>
      </c>
    </row>
    <row r="134" spans="1:3">
      <c r="B134">
        <v>46</v>
      </c>
      <c r="C134">
        <v>53.5</v>
      </c>
    </row>
    <row r="135" spans="1:3">
      <c r="B135">
        <v>50</v>
      </c>
      <c r="C135">
        <v>50.2</v>
      </c>
    </row>
    <row r="136" spans="1:3">
      <c r="B136">
        <v>60</v>
      </c>
      <c r="C136">
        <v>56.3</v>
      </c>
    </row>
    <row r="137" spans="1:3">
      <c r="B137">
        <v>72</v>
      </c>
      <c r="C137">
        <v>70.099999999999994</v>
      </c>
    </row>
    <row r="138" spans="1:3">
      <c r="B138">
        <v>77</v>
      </c>
      <c r="C138">
        <v>73</v>
      </c>
    </row>
    <row r="139" spans="1:3">
      <c r="B139">
        <v>80</v>
      </c>
      <c r="C139">
        <v>74</v>
      </c>
    </row>
    <row r="140" spans="1:3">
      <c r="B140">
        <v>81</v>
      </c>
      <c r="C140">
        <v>76.3</v>
      </c>
    </row>
    <row r="141" spans="1:3">
      <c r="B141">
        <v>82</v>
      </c>
      <c r="C141">
        <v>80.2</v>
      </c>
    </row>
    <row r="142" spans="1:3">
      <c r="B142" t="s">
        <v>672</v>
      </c>
      <c r="C142">
        <f>CORREL(B134:B141,C134:C141)</f>
        <v>0.97309799232911864</v>
      </c>
    </row>
    <row r="143" spans="1:3">
      <c r="B143" t="s">
        <v>1611</v>
      </c>
      <c r="C143" s="59">
        <f>C142/SQRT((1-C142^2)/6)</f>
        <v>10.345834535132269</v>
      </c>
    </row>
    <row r="144" spans="1:3">
      <c r="B144" t="s">
        <v>1612</v>
      </c>
      <c r="C144" s="59">
        <f>_xlfn.T.DIST.2T(ABS(C143),6)</f>
        <v>4.7696888430864621E-5</v>
      </c>
    </row>
    <row r="145" spans="2:7">
      <c r="B145" t="s">
        <v>1613</v>
      </c>
      <c r="C145">
        <f>SLOPE(C134:C141,B134:B141)</f>
        <v>0.77391598915989146</v>
      </c>
    </row>
    <row r="147" spans="2:7">
      <c r="B147" t="s">
        <v>613</v>
      </c>
    </row>
    <row r="148" spans="2:7" ht="15" thickBot="1"/>
    <row r="149" spans="2:7">
      <c r="B149" s="24" t="s">
        <v>614</v>
      </c>
    </row>
    <row r="150" spans="2:7">
      <c r="B150" s="25" t="s">
        <v>615</v>
      </c>
      <c r="C150">
        <v>0.97309799232911875</v>
      </c>
    </row>
    <row r="151" spans="2:7">
      <c r="B151" s="25" t="s">
        <v>616</v>
      </c>
      <c r="C151">
        <v>0.94691970267496162</v>
      </c>
    </row>
    <row r="152" spans="2:7">
      <c r="B152" s="25" t="s">
        <v>617</v>
      </c>
      <c r="C152">
        <v>0.93807298645412196</v>
      </c>
    </row>
    <row r="153" spans="2:7">
      <c r="B153" s="25" t="s">
        <v>618</v>
      </c>
      <c r="C153">
        <v>2.8738987914984011</v>
      </c>
      <c r="G153" t="s">
        <v>1610</v>
      </c>
    </row>
    <row r="154" spans="2:7" ht="15" thickBot="1">
      <c r="B154" s="26" t="s">
        <v>619</v>
      </c>
      <c r="C154">
        <v>8</v>
      </c>
    </row>
    <row r="156" spans="2:7" ht="15" thickBot="1">
      <c r="B156" t="s">
        <v>620</v>
      </c>
    </row>
    <row r="157" spans="2:7">
      <c r="B157" s="27"/>
      <c r="C157" s="27" t="s">
        <v>621</v>
      </c>
      <c r="D157" s="27" t="s">
        <v>622</v>
      </c>
      <c r="E157" s="27" t="s">
        <v>623</v>
      </c>
      <c r="F157" s="27" t="s">
        <v>624</v>
      </c>
      <c r="G157" s="27" t="s">
        <v>625</v>
      </c>
    </row>
    <row r="158" spans="2:7">
      <c r="B158" s="25" t="s">
        <v>626</v>
      </c>
      <c r="C158" s="25">
        <v>1</v>
      </c>
      <c r="D158" s="64">
        <v>884.04423441734411</v>
      </c>
      <c r="E158" s="64">
        <v>884.04423441734411</v>
      </c>
      <c r="F158" s="64">
        <v>107.03629222833601</v>
      </c>
      <c r="G158" s="59">
        <v>4.7696888430864032E-5</v>
      </c>
    </row>
    <row r="159" spans="2:7">
      <c r="B159" s="25" t="s">
        <v>627</v>
      </c>
      <c r="C159" s="25">
        <v>6</v>
      </c>
      <c r="D159" s="64">
        <v>49.555765582655823</v>
      </c>
      <c r="E159" s="64">
        <v>8.2592942637759705</v>
      </c>
      <c r="F159" s="64"/>
      <c r="G159" s="25"/>
    </row>
    <row r="160" spans="2:7" ht="15" thickBot="1">
      <c r="B160" s="26" t="s">
        <v>628</v>
      </c>
      <c r="C160" s="26">
        <v>7</v>
      </c>
      <c r="D160" s="26">
        <v>933.59999999999991</v>
      </c>
      <c r="E160" s="26"/>
      <c r="F160" s="26"/>
      <c r="G160" s="26"/>
    </row>
    <row r="161" spans="2:10" ht="15" thickBot="1"/>
    <row r="162" spans="2:10">
      <c r="B162" s="27"/>
      <c r="C162" s="27" t="s">
        <v>629</v>
      </c>
      <c r="D162" s="27" t="s">
        <v>618</v>
      </c>
      <c r="E162" s="27" t="s">
        <v>630</v>
      </c>
      <c r="F162" s="27" t="s">
        <v>631</v>
      </c>
      <c r="G162" s="27" t="s">
        <v>632</v>
      </c>
      <c r="H162" s="27" t="s">
        <v>633</v>
      </c>
      <c r="I162" s="27" t="s">
        <v>634</v>
      </c>
      <c r="J162" s="27" t="s">
        <v>635</v>
      </c>
    </row>
    <row r="163" spans="2:10">
      <c r="B163" s="25" t="s">
        <v>636</v>
      </c>
      <c r="C163" s="25">
        <v>13.686754742547443</v>
      </c>
      <c r="D163" s="25">
        <v>5.2238841536729712</v>
      </c>
      <c r="E163" s="25">
        <v>2.6200341240194107</v>
      </c>
      <c r="F163" s="25">
        <v>3.9584424843979282E-2</v>
      </c>
      <c r="G163" s="25">
        <v>0.90437069791664015</v>
      </c>
      <c r="H163" s="25">
        <v>26.469138787178245</v>
      </c>
      <c r="I163" s="25">
        <v>0.90437069791664015</v>
      </c>
      <c r="J163" s="25">
        <v>26.469138787178245</v>
      </c>
    </row>
    <row r="164" spans="2:10" ht="15" thickBot="1">
      <c r="B164" s="26" t="s">
        <v>637</v>
      </c>
      <c r="C164" s="26">
        <v>0.77391598915989135</v>
      </c>
      <c r="D164" s="26">
        <v>7.4804597592570674E-2</v>
      </c>
      <c r="E164" s="26">
        <v>10.345834535132289</v>
      </c>
      <c r="F164" s="26">
        <v>4.7696888430864113E-5</v>
      </c>
      <c r="G164" s="26">
        <v>0.59087573279049965</v>
      </c>
      <c r="H164" s="26">
        <v>0.95695624552928304</v>
      </c>
      <c r="I164" s="26">
        <v>0.59087573279049965</v>
      </c>
      <c r="J164" s="26">
        <v>0.95695624552928304</v>
      </c>
    </row>
  </sheetData>
  <phoneticPr fontId="7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0"/>
  <sheetViews>
    <sheetView topLeftCell="A52" workbookViewId="0">
      <selection activeCell="H69" sqref="H69"/>
    </sheetView>
  </sheetViews>
  <sheetFormatPr defaultColWidth="8.6640625" defaultRowHeight="14.4"/>
  <cols>
    <col min="1" max="1" width="11.21875" customWidth="1"/>
    <col min="2" max="2" width="9.5546875" bestFit="1" customWidth="1"/>
    <col min="3" max="3" width="8.77734375" bestFit="1" customWidth="1"/>
    <col min="4" max="4" width="10.77734375" customWidth="1"/>
    <col min="5" max="5" width="11.44140625" customWidth="1"/>
    <col min="6" max="6" width="9.5546875" customWidth="1"/>
    <col min="7" max="7" width="12.77734375" bestFit="1" customWidth="1"/>
    <col min="10" max="10" width="9.88671875" customWidth="1"/>
    <col min="11" max="11" width="10.109375" customWidth="1"/>
    <col min="14" max="14" width="10.88671875" customWidth="1"/>
  </cols>
  <sheetData>
    <row r="1" spans="1:14">
      <c r="A1" s="11" t="s">
        <v>673</v>
      </c>
    </row>
    <row r="2" spans="1:14">
      <c r="A2" t="s">
        <v>674</v>
      </c>
      <c r="B2" t="s">
        <v>675</v>
      </c>
      <c r="C2" t="s">
        <v>676</v>
      </c>
      <c r="D2" t="s">
        <v>677</v>
      </c>
      <c r="E2" t="s">
        <v>1665</v>
      </c>
      <c r="F2" t="s">
        <v>1666</v>
      </c>
      <c r="H2" t="s">
        <v>1627</v>
      </c>
    </row>
    <row r="3" spans="1:14">
      <c r="A3" t="s">
        <v>678</v>
      </c>
      <c r="B3">
        <v>305</v>
      </c>
      <c r="C3">
        <v>280</v>
      </c>
      <c r="D3">
        <v>290</v>
      </c>
      <c r="E3">
        <f>AVERAGE(B3:D3)</f>
        <v>291.66666666666669</v>
      </c>
      <c r="F3">
        <f>E3-$E$23</f>
        <v>1.3166666666666629</v>
      </c>
      <c r="H3" t="s">
        <v>1628</v>
      </c>
      <c r="I3" t="s">
        <v>1615</v>
      </c>
      <c r="J3" t="s">
        <v>1614</v>
      </c>
      <c r="K3" t="s">
        <v>1616</v>
      </c>
      <c r="L3" t="s">
        <v>1617</v>
      </c>
      <c r="M3" t="s">
        <v>1618</v>
      </c>
      <c r="N3" t="s">
        <v>1614</v>
      </c>
    </row>
    <row r="4" spans="1:14">
      <c r="A4" t="s">
        <v>681</v>
      </c>
      <c r="B4">
        <v>280</v>
      </c>
      <c r="C4">
        <v>305</v>
      </c>
      <c r="D4">
        <v>315</v>
      </c>
      <c r="E4">
        <f t="shared" ref="E4:E22" si="0">AVERAGE(B4:D4)</f>
        <v>300</v>
      </c>
      <c r="F4">
        <f t="shared" ref="F4:F22" si="1">E4-$E$23</f>
        <v>9.6499999999999773</v>
      </c>
      <c r="H4" t="s">
        <v>1629</v>
      </c>
      <c r="I4">
        <v>19</v>
      </c>
      <c r="J4" s="39">
        <v>29732.316666666637</v>
      </c>
      <c r="K4" s="39">
        <v>1564.858771929823</v>
      </c>
      <c r="L4" s="39">
        <v>9.5983977014710042</v>
      </c>
      <c r="M4">
        <v>1.4392264908990201E-9</v>
      </c>
      <c r="N4" s="39">
        <f>3*SUMSQ(F3:F22)</f>
        <v>29732.316666666677</v>
      </c>
    </row>
    <row r="5" spans="1:14">
      <c r="A5" t="s">
        <v>682</v>
      </c>
      <c r="B5">
        <v>270</v>
      </c>
      <c r="C5">
        <v>255</v>
      </c>
      <c r="D5">
        <v>270</v>
      </c>
      <c r="E5">
        <f t="shared" si="0"/>
        <v>265</v>
      </c>
      <c r="F5">
        <f t="shared" si="1"/>
        <v>-25.350000000000023</v>
      </c>
      <c r="H5" t="s">
        <v>1630</v>
      </c>
      <c r="I5">
        <v>40</v>
      </c>
      <c r="J5" s="39">
        <v>6521.3333333333339</v>
      </c>
      <c r="K5" s="39">
        <v>163.03333333333336</v>
      </c>
      <c r="L5" s="39"/>
      <c r="N5" s="39">
        <f>N6-N4</f>
        <v>6521.3333333327646</v>
      </c>
    </row>
    <row r="6" spans="1:14">
      <c r="A6" t="s">
        <v>683</v>
      </c>
      <c r="B6">
        <v>270</v>
      </c>
      <c r="C6">
        <v>260</v>
      </c>
      <c r="D6">
        <v>290</v>
      </c>
      <c r="E6">
        <f t="shared" si="0"/>
        <v>273.33333333333331</v>
      </c>
      <c r="F6">
        <f t="shared" si="1"/>
        <v>-17.016666666666708</v>
      </c>
      <c r="H6" t="s">
        <v>628</v>
      </c>
      <c r="I6">
        <v>59</v>
      </c>
      <c r="J6" s="39">
        <v>36253.649999999972</v>
      </c>
      <c r="N6" s="39">
        <f>SUMSQ(B3:D22)-60*E23^2</f>
        <v>36253.649999999441</v>
      </c>
    </row>
    <row r="7" spans="1:14">
      <c r="A7" t="s">
        <v>684</v>
      </c>
      <c r="B7">
        <v>310</v>
      </c>
      <c r="C7">
        <v>315</v>
      </c>
      <c r="D7">
        <v>325</v>
      </c>
      <c r="E7">
        <f t="shared" si="0"/>
        <v>316.66666666666669</v>
      </c>
      <c r="F7">
        <f t="shared" si="1"/>
        <v>26.316666666666663</v>
      </c>
    </row>
    <row r="8" spans="1:14">
      <c r="A8" t="s">
        <v>685</v>
      </c>
      <c r="B8">
        <v>290</v>
      </c>
      <c r="C8">
        <v>290</v>
      </c>
      <c r="D8">
        <v>300</v>
      </c>
      <c r="E8">
        <f t="shared" si="0"/>
        <v>293.33333333333331</v>
      </c>
      <c r="F8">
        <f t="shared" si="1"/>
        <v>2.9833333333332916</v>
      </c>
      <c r="H8" t="s">
        <v>1623</v>
      </c>
      <c r="I8" t="s">
        <v>1619</v>
      </c>
      <c r="J8" t="s">
        <v>1620</v>
      </c>
      <c r="K8" t="s">
        <v>1621</v>
      </c>
      <c r="L8" t="s">
        <v>1622</v>
      </c>
    </row>
    <row r="9" spans="1:14">
      <c r="A9" t="s">
        <v>686</v>
      </c>
      <c r="B9">
        <v>255</v>
      </c>
      <c r="C9">
        <v>235</v>
      </c>
      <c r="D9">
        <v>235</v>
      </c>
      <c r="E9">
        <f t="shared" si="0"/>
        <v>241.66666666666666</v>
      </c>
      <c r="F9">
        <f t="shared" si="1"/>
        <v>-48.683333333333366</v>
      </c>
      <c r="H9" t="s">
        <v>1624</v>
      </c>
      <c r="I9" s="39">
        <f>(K4-K5)/3</f>
        <v>467.27514619882987</v>
      </c>
      <c r="J9" s="39">
        <f>K5</f>
        <v>163.03333333333336</v>
      </c>
      <c r="K9" s="13">
        <f>I9/(I9+J9)</f>
        <v>0.74134358234504105</v>
      </c>
      <c r="L9" s="13">
        <f>I9/(I9+J9/3)</f>
        <v>0.89581594437926393</v>
      </c>
    </row>
    <row r="10" spans="1:14">
      <c r="A10" t="s">
        <v>687</v>
      </c>
      <c r="B10">
        <v>287</v>
      </c>
      <c r="C10">
        <v>300</v>
      </c>
      <c r="D10">
        <v>310</v>
      </c>
      <c r="E10">
        <f t="shared" si="0"/>
        <v>299</v>
      </c>
      <c r="F10">
        <f t="shared" si="1"/>
        <v>8.6499999999999773</v>
      </c>
    </row>
    <row r="11" spans="1:14">
      <c r="A11" t="s">
        <v>688</v>
      </c>
      <c r="B11">
        <v>320</v>
      </c>
      <c r="C11">
        <v>320</v>
      </c>
      <c r="D11">
        <v>275</v>
      </c>
      <c r="E11">
        <f t="shared" si="0"/>
        <v>305</v>
      </c>
      <c r="F11">
        <f t="shared" si="1"/>
        <v>14.649999999999977</v>
      </c>
    </row>
    <row r="12" spans="1:14">
      <c r="A12" t="s">
        <v>689</v>
      </c>
      <c r="B12">
        <v>270</v>
      </c>
      <c r="C12">
        <v>265</v>
      </c>
      <c r="D12">
        <v>260</v>
      </c>
      <c r="E12">
        <f t="shared" si="0"/>
        <v>265</v>
      </c>
      <c r="F12">
        <f t="shared" si="1"/>
        <v>-25.350000000000023</v>
      </c>
    </row>
    <row r="13" spans="1:14">
      <c r="A13" t="s">
        <v>690</v>
      </c>
      <c r="B13">
        <v>260</v>
      </c>
      <c r="C13">
        <v>280</v>
      </c>
      <c r="D13">
        <v>285</v>
      </c>
      <c r="E13">
        <f t="shared" si="0"/>
        <v>275</v>
      </c>
      <c r="F13">
        <f t="shared" si="1"/>
        <v>-15.350000000000023</v>
      </c>
    </row>
    <row r="14" spans="1:14">
      <c r="A14" t="s">
        <v>691</v>
      </c>
      <c r="B14">
        <v>310</v>
      </c>
      <c r="C14">
        <v>310</v>
      </c>
      <c r="D14">
        <v>310</v>
      </c>
      <c r="E14">
        <f t="shared" si="0"/>
        <v>310</v>
      </c>
      <c r="F14">
        <f t="shared" si="1"/>
        <v>19.649999999999977</v>
      </c>
    </row>
    <row r="15" spans="1:14">
      <c r="A15" t="s">
        <v>692</v>
      </c>
      <c r="B15">
        <v>310</v>
      </c>
      <c r="C15">
        <v>335</v>
      </c>
      <c r="D15">
        <v>330</v>
      </c>
      <c r="E15">
        <f t="shared" si="0"/>
        <v>325</v>
      </c>
      <c r="F15">
        <f t="shared" si="1"/>
        <v>34.649999999999977</v>
      </c>
    </row>
    <row r="16" spans="1:14">
      <c r="A16" t="s">
        <v>693</v>
      </c>
      <c r="B16">
        <v>335</v>
      </c>
      <c r="C16">
        <v>310</v>
      </c>
      <c r="D16">
        <v>330</v>
      </c>
      <c r="E16">
        <f t="shared" si="0"/>
        <v>325</v>
      </c>
      <c r="F16">
        <f t="shared" si="1"/>
        <v>34.649999999999977</v>
      </c>
    </row>
    <row r="17" spans="1:7">
      <c r="A17" t="s">
        <v>694</v>
      </c>
      <c r="B17">
        <v>260</v>
      </c>
      <c r="C17">
        <v>245</v>
      </c>
      <c r="D17">
        <v>255</v>
      </c>
      <c r="E17">
        <f t="shared" si="0"/>
        <v>253.33333333333334</v>
      </c>
      <c r="F17">
        <f t="shared" si="1"/>
        <v>-37.01666666666668</v>
      </c>
    </row>
    <row r="18" spans="1:7">
      <c r="A18" t="s">
        <v>695</v>
      </c>
      <c r="B18">
        <v>320</v>
      </c>
      <c r="C18">
        <v>305</v>
      </c>
      <c r="D18">
        <v>300</v>
      </c>
      <c r="E18">
        <f t="shared" si="0"/>
        <v>308.33333333333331</v>
      </c>
      <c r="F18">
        <f t="shared" si="1"/>
        <v>17.983333333333292</v>
      </c>
    </row>
    <row r="19" spans="1:7">
      <c r="A19" t="s">
        <v>696</v>
      </c>
      <c r="B19">
        <v>300</v>
      </c>
      <c r="C19">
        <v>298</v>
      </c>
      <c r="D19">
        <v>278</v>
      </c>
      <c r="E19">
        <f t="shared" si="0"/>
        <v>292</v>
      </c>
      <c r="F19">
        <f t="shared" si="1"/>
        <v>1.6499999999999773</v>
      </c>
      <c r="G19" t="s">
        <v>1664</v>
      </c>
    </row>
    <row r="20" spans="1:7">
      <c r="A20" t="s">
        <v>697</v>
      </c>
      <c r="B20">
        <v>310</v>
      </c>
      <c r="C20">
        <v>305</v>
      </c>
      <c r="D20">
        <v>278</v>
      </c>
      <c r="E20">
        <f t="shared" si="0"/>
        <v>297.66666666666669</v>
      </c>
      <c r="F20">
        <f t="shared" si="1"/>
        <v>7.3166666666666629</v>
      </c>
    </row>
    <row r="21" spans="1:7">
      <c r="A21" t="s">
        <v>698</v>
      </c>
      <c r="B21">
        <v>295</v>
      </c>
      <c r="C21">
        <v>270</v>
      </c>
      <c r="D21">
        <v>275</v>
      </c>
      <c r="E21">
        <f t="shared" si="0"/>
        <v>280</v>
      </c>
      <c r="F21">
        <f t="shared" si="1"/>
        <v>-10.350000000000023</v>
      </c>
    </row>
    <row r="22" spans="1:7">
      <c r="A22" t="s">
        <v>699</v>
      </c>
      <c r="B22">
        <v>290</v>
      </c>
      <c r="C22">
        <v>300</v>
      </c>
      <c r="D22">
        <v>280</v>
      </c>
      <c r="E22">
        <f t="shared" si="0"/>
        <v>290</v>
      </c>
      <c r="F22">
        <f t="shared" si="1"/>
        <v>-0.35000000000002274</v>
      </c>
    </row>
    <row r="23" spans="1:7">
      <c r="A23" t="s">
        <v>1667</v>
      </c>
      <c r="E23">
        <f>AVERAGE(B3:D22)</f>
        <v>290.35000000000002</v>
      </c>
    </row>
    <row r="25" spans="1:7">
      <c r="B25" t="s">
        <v>1650</v>
      </c>
    </row>
    <row r="27" spans="1:7" ht="15" thickBot="1">
      <c r="B27" t="s">
        <v>1631</v>
      </c>
    </row>
    <row r="28" spans="1:7">
      <c r="B28" s="27" t="s">
        <v>1651</v>
      </c>
      <c r="C28" s="27" t="s">
        <v>1632</v>
      </c>
      <c r="D28" s="27" t="s">
        <v>1633</v>
      </c>
      <c r="E28" s="27" t="s">
        <v>1634</v>
      </c>
      <c r="F28" s="27" t="s">
        <v>1635</v>
      </c>
    </row>
    <row r="29" spans="1:7">
      <c r="B29" s="25" t="s">
        <v>1636</v>
      </c>
      <c r="C29" s="25">
        <v>3</v>
      </c>
      <c r="D29" s="25">
        <v>875</v>
      </c>
      <c r="E29" s="25">
        <v>291.66666666666669</v>
      </c>
      <c r="F29" s="25">
        <v>158.33333333333331</v>
      </c>
    </row>
    <row r="30" spans="1:7">
      <c r="B30" s="25" t="s">
        <v>1637</v>
      </c>
      <c r="C30" s="25">
        <v>3</v>
      </c>
      <c r="D30" s="25">
        <v>900</v>
      </c>
      <c r="E30" s="25">
        <v>300</v>
      </c>
      <c r="F30" s="25">
        <v>325</v>
      </c>
    </row>
    <row r="31" spans="1:7">
      <c r="B31" s="25" t="s">
        <v>1638</v>
      </c>
      <c r="C31" s="25">
        <v>3</v>
      </c>
      <c r="D31" s="25">
        <v>795</v>
      </c>
      <c r="E31" s="25">
        <v>265</v>
      </c>
      <c r="F31" s="25">
        <v>75</v>
      </c>
    </row>
    <row r="32" spans="1:7">
      <c r="B32" s="25" t="s">
        <v>1639</v>
      </c>
      <c r="C32" s="25">
        <v>3</v>
      </c>
      <c r="D32" s="25">
        <v>820</v>
      </c>
      <c r="E32" s="25">
        <v>273.33333333333331</v>
      </c>
      <c r="F32" s="25">
        <v>233.33333333333331</v>
      </c>
    </row>
    <row r="33" spans="2:6">
      <c r="B33" s="25" t="s">
        <v>1640</v>
      </c>
      <c r="C33" s="25">
        <v>3</v>
      </c>
      <c r="D33" s="25">
        <v>950</v>
      </c>
      <c r="E33" s="25">
        <v>316.66666666666669</v>
      </c>
      <c r="F33" s="25">
        <v>58.333333333333336</v>
      </c>
    </row>
    <row r="34" spans="2:6">
      <c r="B34" s="25" t="s">
        <v>1641</v>
      </c>
      <c r="C34" s="25">
        <v>3</v>
      </c>
      <c r="D34" s="25">
        <v>880</v>
      </c>
      <c r="E34" s="25">
        <v>293.33333333333331</v>
      </c>
      <c r="F34" s="25">
        <v>33.333333333333336</v>
      </c>
    </row>
    <row r="35" spans="2:6">
      <c r="B35" s="25" t="s">
        <v>1642</v>
      </c>
      <c r="C35" s="25">
        <v>3</v>
      </c>
      <c r="D35" s="25">
        <v>725</v>
      </c>
      <c r="E35" s="25">
        <v>241.66666666666666</v>
      </c>
      <c r="F35" s="25">
        <v>133.33333333333331</v>
      </c>
    </row>
    <row r="36" spans="2:6">
      <c r="B36" s="25" t="s">
        <v>1643</v>
      </c>
      <c r="C36" s="25">
        <v>3</v>
      </c>
      <c r="D36" s="25">
        <v>897</v>
      </c>
      <c r="E36" s="25">
        <v>299</v>
      </c>
      <c r="F36" s="25">
        <v>133</v>
      </c>
    </row>
    <row r="37" spans="2:6">
      <c r="B37" s="25" t="s">
        <v>1644</v>
      </c>
      <c r="C37" s="25">
        <v>3</v>
      </c>
      <c r="D37" s="25">
        <v>915</v>
      </c>
      <c r="E37" s="25">
        <v>305</v>
      </c>
      <c r="F37" s="25">
        <v>675</v>
      </c>
    </row>
    <row r="38" spans="2:6">
      <c r="B38" s="25" t="s">
        <v>1645</v>
      </c>
      <c r="C38" s="25">
        <v>3</v>
      </c>
      <c r="D38" s="25">
        <v>795</v>
      </c>
      <c r="E38" s="25">
        <v>265</v>
      </c>
      <c r="F38" s="25">
        <v>25</v>
      </c>
    </row>
    <row r="39" spans="2:6">
      <c r="B39" s="25" t="s">
        <v>1652</v>
      </c>
      <c r="C39" s="25">
        <v>3</v>
      </c>
      <c r="D39" s="25">
        <v>825</v>
      </c>
      <c r="E39" s="25">
        <v>275</v>
      </c>
      <c r="F39" s="25">
        <v>175</v>
      </c>
    </row>
    <row r="40" spans="2:6">
      <c r="B40" s="25" t="s">
        <v>1653</v>
      </c>
      <c r="C40" s="25">
        <v>3</v>
      </c>
      <c r="D40" s="25">
        <v>930</v>
      </c>
      <c r="E40" s="25">
        <v>310</v>
      </c>
      <c r="F40" s="25">
        <v>0</v>
      </c>
    </row>
    <row r="41" spans="2:6">
      <c r="B41" s="25" t="s">
        <v>1654</v>
      </c>
      <c r="C41" s="25">
        <v>3</v>
      </c>
      <c r="D41" s="25">
        <v>975</v>
      </c>
      <c r="E41" s="25">
        <v>325</v>
      </c>
      <c r="F41" s="25">
        <v>175</v>
      </c>
    </row>
    <row r="42" spans="2:6">
      <c r="B42" s="25" t="s">
        <v>1655</v>
      </c>
      <c r="C42" s="25">
        <v>3</v>
      </c>
      <c r="D42" s="25">
        <v>975</v>
      </c>
      <c r="E42" s="25">
        <v>325</v>
      </c>
      <c r="F42" s="25">
        <v>175</v>
      </c>
    </row>
    <row r="43" spans="2:6">
      <c r="B43" s="25" t="s">
        <v>1656</v>
      </c>
      <c r="C43" s="25">
        <v>3</v>
      </c>
      <c r="D43" s="25">
        <v>760</v>
      </c>
      <c r="E43" s="25">
        <v>253.33333333333334</v>
      </c>
      <c r="F43" s="25">
        <v>58.333333333333329</v>
      </c>
    </row>
    <row r="44" spans="2:6">
      <c r="B44" s="25" t="s">
        <v>1657</v>
      </c>
      <c r="C44" s="25">
        <v>3</v>
      </c>
      <c r="D44" s="25">
        <v>925</v>
      </c>
      <c r="E44" s="25">
        <v>308.33333333333331</v>
      </c>
      <c r="F44" s="25">
        <v>108.33333333333331</v>
      </c>
    </row>
    <row r="45" spans="2:6">
      <c r="B45" s="25" t="s">
        <v>1658</v>
      </c>
      <c r="C45" s="25">
        <v>3</v>
      </c>
      <c r="D45" s="25">
        <v>876</v>
      </c>
      <c r="E45" s="25">
        <v>292</v>
      </c>
      <c r="F45" s="25">
        <v>148</v>
      </c>
    </row>
    <row r="46" spans="2:6">
      <c r="B46" s="25" t="s">
        <v>1659</v>
      </c>
      <c r="C46" s="25">
        <v>3</v>
      </c>
      <c r="D46" s="25">
        <v>893</v>
      </c>
      <c r="E46" s="25">
        <v>297.66666666666669</v>
      </c>
      <c r="F46" s="25">
        <v>296.33333333333331</v>
      </c>
    </row>
    <row r="47" spans="2:6">
      <c r="B47" s="25" t="s">
        <v>1660</v>
      </c>
      <c r="C47" s="25">
        <v>3</v>
      </c>
      <c r="D47" s="25">
        <v>840</v>
      </c>
      <c r="E47" s="25">
        <v>280</v>
      </c>
      <c r="F47" s="25">
        <v>175</v>
      </c>
    </row>
    <row r="48" spans="2:6" ht="15" thickBot="1">
      <c r="B48" s="26" t="s">
        <v>1661</v>
      </c>
      <c r="C48" s="26">
        <v>3</v>
      </c>
      <c r="D48" s="26">
        <v>870</v>
      </c>
      <c r="E48" s="26">
        <v>290</v>
      </c>
      <c r="F48" s="26">
        <v>100</v>
      </c>
    </row>
    <row r="51" spans="1:14" ht="15" thickBot="1">
      <c r="B51" t="s">
        <v>620</v>
      </c>
    </row>
    <row r="52" spans="1:14">
      <c r="B52" s="27" t="s">
        <v>679</v>
      </c>
      <c r="C52" s="27" t="s">
        <v>622</v>
      </c>
      <c r="D52" s="27" t="s">
        <v>621</v>
      </c>
      <c r="E52" s="27" t="s">
        <v>623</v>
      </c>
      <c r="F52" s="27" t="s">
        <v>624</v>
      </c>
      <c r="G52" s="27" t="s">
        <v>631</v>
      </c>
      <c r="H52" s="27" t="s">
        <v>680</v>
      </c>
    </row>
    <row r="53" spans="1:14">
      <c r="B53" s="25" t="s">
        <v>1662</v>
      </c>
      <c r="C53" s="25">
        <v>29732.316666666637</v>
      </c>
      <c r="D53" s="25">
        <v>19</v>
      </c>
      <c r="E53" s="25">
        <v>1564.858771929823</v>
      </c>
      <c r="F53" s="25">
        <v>9.5983977014710042</v>
      </c>
      <c r="G53" s="25">
        <v>1.4392264908990201E-9</v>
      </c>
      <c r="H53" s="25">
        <v>1.8528918250399808</v>
      </c>
    </row>
    <row r="54" spans="1:14">
      <c r="B54" s="25" t="s">
        <v>1663</v>
      </c>
      <c r="C54" s="25">
        <v>6521.3333333333339</v>
      </c>
      <c r="D54" s="25">
        <v>40</v>
      </c>
      <c r="E54" s="25">
        <v>163.03333333333336</v>
      </c>
      <c r="F54" s="25"/>
      <c r="G54" s="25"/>
      <c r="H54" s="25"/>
    </row>
    <row r="55" spans="1:14">
      <c r="B55" s="25"/>
      <c r="C55" s="25"/>
      <c r="D55" s="25"/>
      <c r="E55" s="25"/>
      <c r="F55" s="25"/>
      <c r="G55" s="25"/>
      <c r="H55" s="25"/>
    </row>
    <row r="56" spans="1:14" ht="15" thickBot="1">
      <c r="B56" s="26" t="s">
        <v>628</v>
      </c>
      <c r="C56" s="26">
        <v>36253.649999999972</v>
      </c>
      <c r="D56" s="26">
        <v>59</v>
      </c>
      <c r="E56" s="26"/>
      <c r="F56" s="26"/>
      <c r="G56" s="26"/>
      <c r="H56" s="26"/>
    </row>
    <row r="58" spans="1:14">
      <c r="A58" s="11" t="s">
        <v>1625</v>
      </c>
      <c r="B58" t="s">
        <v>1626</v>
      </c>
      <c r="C58" t="s">
        <v>700</v>
      </c>
      <c r="D58" t="s">
        <v>1665</v>
      </c>
      <c r="E58" t="s">
        <v>1666</v>
      </c>
      <c r="H58" t="s">
        <v>1627</v>
      </c>
    </row>
    <row r="59" spans="1:14">
      <c r="A59" t="s">
        <v>702</v>
      </c>
      <c r="B59">
        <v>15.3</v>
      </c>
      <c r="C59">
        <v>15.1</v>
      </c>
      <c r="D59">
        <f>AVERAGE(B59:C59)</f>
        <v>15.2</v>
      </c>
      <c r="E59">
        <f>D59-$D$69</f>
        <v>1.0549999999999979</v>
      </c>
      <c r="H59" t="s">
        <v>1592</v>
      </c>
      <c r="I59" t="s">
        <v>1615</v>
      </c>
      <c r="J59" t="s">
        <v>1614</v>
      </c>
      <c r="K59" t="s">
        <v>1616</v>
      </c>
      <c r="L59" t="s">
        <v>1617</v>
      </c>
      <c r="M59" t="s">
        <v>1618</v>
      </c>
      <c r="N59" t="s">
        <v>1614</v>
      </c>
    </row>
    <row r="60" spans="1:14">
      <c r="A60" t="s">
        <v>703</v>
      </c>
      <c r="B60">
        <v>14.5</v>
      </c>
      <c r="C60">
        <v>15</v>
      </c>
      <c r="D60">
        <f t="shared" ref="D60:D68" si="2">AVERAGE(B60:C60)</f>
        <v>14.75</v>
      </c>
      <c r="E60">
        <f t="shared" ref="E60:E68" si="3">D60-$D$69</f>
        <v>0.60499999999999865</v>
      </c>
      <c r="H60" t="s">
        <v>1629</v>
      </c>
      <c r="I60" s="25">
        <v>9</v>
      </c>
      <c r="J60" s="25">
        <v>23.654499999999999</v>
      </c>
      <c r="K60" s="25">
        <v>2.6282777777777775</v>
      </c>
      <c r="L60" s="25">
        <v>40.058425063505105</v>
      </c>
      <c r="M60" s="25">
        <v>3.3895357035546773E-6</v>
      </c>
      <c r="N60" s="41">
        <f>SUMSQ(E59:E68)*2</f>
        <v>23.654500000000009</v>
      </c>
    </row>
    <row r="61" spans="1:14">
      <c r="A61" t="s">
        <v>705</v>
      </c>
      <c r="B61">
        <v>14</v>
      </c>
      <c r="C61">
        <v>14.9</v>
      </c>
      <c r="D61">
        <f t="shared" si="2"/>
        <v>14.45</v>
      </c>
      <c r="E61">
        <f t="shared" si="3"/>
        <v>0.30499999999999794</v>
      </c>
      <c r="H61" t="s">
        <v>1648</v>
      </c>
      <c r="I61" s="25">
        <v>1</v>
      </c>
      <c r="J61" s="25">
        <v>1.6244999999999941</v>
      </c>
      <c r="K61" s="25">
        <v>1.6244999999999941</v>
      </c>
      <c r="L61" s="25">
        <v>24.759525825571213</v>
      </c>
      <c r="M61" s="25">
        <v>7.6371713918841364E-4</v>
      </c>
      <c r="N61" s="41">
        <f>SUMSQ(B70:C70)*10</f>
        <v>1.6244999999999712</v>
      </c>
    </row>
    <row r="62" spans="1:14">
      <c r="A62" t="s">
        <v>707</v>
      </c>
      <c r="B62">
        <v>13.2</v>
      </c>
      <c r="C62">
        <v>14</v>
      </c>
      <c r="D62">
        <f t="shared" si="2"/>
        <v>13.6</v>
      </c>
      <c r="E62">
        <f t="shared" si="3"/>
        <v>-0.54500000000000171</v>
      </c>
      <c r="H62" t="s">
        <v>1630</v>
      </c>
      <c r="I62" s="25">
        <v>9</v>
      </c>
      <c r="J62" s="25">
        <v>0.5905000000000058</v>
      </c>
      <c r="K62" s="25">
        <v>6.5611111111111758E-2</v>
      </c>
      <c r="L62" s="25"/>
      <c r="M62" s="25"/>
      <c r="N62" s="41">
        <f>N63-N60-N61</f>
        <v>0.5904999999998084</v>
      </c>
    </row>
    <row r="63" spans="1:14">
      <c r="A63" t="s">
        <v>709</v>
      </c>
      <c r="B63">
        <v>15.4</v>
      </c>
      <c r="C63">
        <v>15.9</v>
      </c>
      <c r="D63">
        <f t="shared" si="2"/>
        <v>15.65</v>
      </c>
      <c r="E63">
        <f t="shared" si="3"/>
        <v>1.504999999999999</v>
      </c>
      <c r="H63" t="s">
        <v>1649</v>
      </c>
      <c r="I63" s="25">
        <v>19</v>
      </c>
      <c r="J63" s="25">
        <v>25.869499999999999</v>
      </c>
      <c r="N63" s="41">
        <f>SUMSQ(B59:C68)-20*D69^2</f>
        <v>25.869499999999789</v>
      </c>
    </row>
    <row r="64" spans="1:14">
      <c r="A64" t="s">
        <v>710</v>
      </c>
      <c r="B64">
        <v>15.5</v>
      </c>
      <c r="C64">
        <v>15.6</v>
      </c>
      <c r="D64">
        <f t="shared" si="2"/>
        <v>15.55</v>
      </c>
      <c r="E64">
        <f t="shared" si="3"/>
        <v>1.4049999999999994</v>
      </c>
    </row>
    <row r="65" spans="1:12">
      <c r="A65" t="s">
        <v>711</v>
      </c>
      <c r="B65">
        <v>13.2</v>
      </c>
      <c r="C65">
        <v>14.1</v>
      </c>
      <c r="D65">
        <f t="shared" si="2"/>
        <v>13.649999999999999</v>
      </c>
      <c r="E65">
        <f t="shared" si="3"/>
        <v>-0.49500000000000277</v>
      </c>
      <c r="H65" t="s">
        <v>1623</v>
      </c>
      <c r="I65" t="s">
        <v>1619</v>
      </c>
      <c r="J65" t="s">
        <v>1620</v>
      </c>
      <c r="K65" t="s">
        <v>1621</v>
      </c>
      <c r="L65" t="s">
        <v>1622</v>
      </c>
    </row>
    <row r="66" spans="1:12">
      <c r="A66" t="s">
        <v>712</v>
      </c>
      <c r="B66">
        <v>11.9</v>
      </c>
      <c r="C66">
        <v>12.6</v>
      </c>
      <c r="D66">
        <f t="shared" si="2"/>
        <v>12.25</v>
      </c>
      <c r="E66">
        <f t="shared" si="3"/>
        <v>-1.8950000000000014</v>
      </c>
      <c r="H66" t="s">
        <v>1624</v>
      </c>
      <c r="I66" s="13">
        <f>(K60-K62)/2</f>
        <v>1.2813333333333328</v>
      </c>
      <c r="J66" s="13">
        <f>K62</f>
        <v>6.5611111111111758E-2</v>
      </c>
      <c r="K66" s="13">
        <f>I66/(I66+J66)</f>
        <v>0.95128892555165967</v>
      </c>
      <c r="L66" s="13">
        <f>I66/(I66+J66/2)</f>
        <v>0.97503646240672992</v>
      </c>
    </row>
    <row r="67" spans="1:12">
      <c r="A67" t="s">
        <v>713</v>
      </c>
      <c r="B67">
        <v>12.8</v>
      </c>
      <c r="C67">
        <v>13.5</v>
      </c>
      <c r="D67">
        <f t="shared" si="2"/>
        <v>13.15</v>
      </c>
      <c r="E67">
        <f t="shared" si="3"/>
        <v>-0.99500000000000099</v>
      </c>
    </row>
    <row r="68" spans="1:12">
      <c r="A68" t="s">
        <v>714</v>
      </c>
      <c r="B68">
        <v>12.8</v>
      </c>
      <c r="C68">
        <v>13.6</v>
      </c>
      <c r="D68">
        <f t="shared" si="2"/>
        <v>13.2</v>
      </c>
      <c r="E68">
        <f t="shared" si="3"/>
        <v>-0.94500000000000206</v>
      </c>
    </row>
    <row r="69" spans="1:12">
      <c r="A69" t="s">
        <v>1668</v>
      </c>
      <c r="B69">
        <f>AVERAGE(B59:B68)</f>
        <v>13.860000000000003</v>
      </c>
      <c r="C69">
        <f>AVERAGE(C59:C68)</f>
        <v>14.429999999999998</v>
      </c>
      <c r="D69">
        <f>AVERAGE(B59:C68)</f>
        <v>14.145000000000001</v>
      </c>
    </row>
    <row r="70" spans="1:12">
      <c r="A70" t="s">
        <v>1669</v>
      </c>
      <c r="B70">
        <f>B69-$D$69</f>
        <v>-0.28499999999999837</v>
      </c>
      <c r="C70">
        <f t="shared" ref="C70" si="4">C69-$D$69</f>
        <v>0.28499999999999659</v>
      </c>
    </row>
    <row r="72" spans="1:12">
      <c r="B72" t="s">
        <v>701</v>
      </c>
    </row>
    <row r="73" spans="1:12" ht="15" thickBot="1"/>
    <row r="74" spans="1:12">
      <c r="B74" s="27" t="s">
        <v>1631</v>
      </c>
      <c r="C74" s="27" t="s">
        <v>1632</v>
      </c>
      <c r="D74" s="27" t="s">
        <v>1633</v>
      </c>
      <c r="E74" s="27" t="s">
        <v>1634</v>
      </c>
      <c r="F74" s="27" t="s">
        <v>1635</v>
      </c>
    </row>
    <row r="75" spans="1:12">
      <c r="B75" s="25" t="s">
        <v>1636</v>
      </c>
      <c r="C75" s="25">
        <v>2</v>
      </c>
      <c r="D75" s="25">
        <v>30.4</v>
      </c>
      <c r="E75" s="25">
        <v>15.2</v>
      </c>
      <c r="F75" s="25">
        <v>2.0000000000000212E-2</v>
      </c>
    </row>
    <row r="76" spans="1:12">
      <c r="B76" s="25" t="s">
        <v>1637</v>
      </c>
      <c r="C76" s="25">
        <v>2</v>
      </c>
      <c r="D76" s="25">
        <v>29.5</v>
      </c>
      <c r="E76" s="25">
        <v>14.75</v>
      </c>
      <c r="F76" s="25">
        <v>0.125</v>
      </c>
    </row>
    <row r="77" spans="1:12">
      <c r="B77" s="25" t="s">
        <v>1638</v>
      </c>
      <c r="C77" s="25">
        <v>2</v>
      </c>
      <c r="D77" s="25">
        <v>28.9</v>
      </c>
      <c r="E77" s="25">
        <v>14.45</v>
      </c>
      <c r="F77" s="25">
        <v>0.4050000000000003</v>
      </c>
    </row>
    <row r="78" spans="1:12">
      <c r="B78" s="25" t="s">
        <v>1639</v>
      </c>
      <c r="C78" s="25">
        <v>2</v>
      </c>
      <c r="D78" s="25">
        <v>27.2</v>
      </c>
      <c r="E78" s="25">
        <v>13.6</v>
      </c>
      <c r="F78" s="25">
        <v>0.32000000000000056</v>
      </c>
    </row>
    <row r="79" spans="1:12">
      <c r="B79" s="25" t="s">
        <v>1640</v>
      </c>
      <c r="C79" s="25">
        <v>2</v>
      </c>
      <c r="D79" s="25">
        <v>31.3</v>
      </c>
      <c r="E79" s="25">
        <v>15.65</v>
      </c>
      <c r="F79" s="25">
        <v>0.125</v>
      </c>
    </row>
    <row r="80" spans="1:12">
      <c r="B80" s="25" t="s">
        <v>1641</v>
      </c>
      <c r="C80" s="25">
        <v>2</v>
      </c>
      <c r="D80" s="25">
        <v>31.1</v>
      </c>
      <c r="E80" s="25">
        <v>15.55</v>
      </c>
      <c r="F80" s="25">
        <v>4.9999999999999645E-3</v>
      </c>
    </row>
    <row r="81" spans="2:8">
      <c r="B81" s="25" t="s">
        <v>1642</v>
      </c>
      <c r="C81" s="25">
        <v>2</v>
      </c>
      <c r="D81" s="25">
        <v>27.299999999999997</v>
      </c>
      <c r="E81" s="25">
        <v>13.649999999999999</v>
      </c>
      <c r="F81" s="25">
        <v>0.4050000000000003</v>
      </c>
    </row>
    <row r="82" spans="2:8">
      <c r="B82" s="25" t="s">
        <v>1643</v>
      </c>
      <c r="C82" s="25">
        <v>2</v>
      </c>
      <c r="D82" s="25">
        <v>24.5</v>
      </c>
      <c r="E82" s="25">
        <v>12.25</v>
      </c>
      <c r="F82" s="25">
        <v>0.2449999999999995</v>
      </c>
    </row>
    <row r="83" spans="2:8">
      <c r="B83" s="25" t="s">
        <v>1644</v>
      </c>
      <c r="C83" s="25">
        <v>2</v>
      </c>
      <c r="D83" s="25">
        <v>26.3</v>
      </c>
      <c r="E83" s="25">
        <v>13.15</v>
      </c>
      <c r="F83" s="25">
        <v>0.2449999999999995</v>
      </c>
    </row>
    <row r="84" spans="2:8">
      <c r="B84" s="25" t="s">
        <v>1645</v>
      </c>
      <c r="C84" s="25">
        <v>2</v>
      </c>
      <c r="D84" s="25">
        <v>26.4</v>
      </c>
      <c r="E84" s="25">
        <v>13.2</v>
      </c>
      <c r="F84" s="25">
        <v>0.31999999999999917</v>
      </c>
    </row>
    <row r="85" spans="2:8">
      <c r="B85" s="25"/>
      <c r="C85" s="25"/>
      <c r="D85" s="25"/>
      <c r="E85" s="25"/>
      <c r="F85" s="25"/>
    </row>
    <row r="86" spans="2:8">
      <c r="B86" s="25" t="s">
        <v>1646</v>
      </c>
      <c r="C86" s="25">
        <v>10</v>
      </c>
      <c r="D86" s="25">
        <v>138.60000000000002</v>
      </c>
      <c r="E86" s="25">
        <v>13.860000000000003</v>
      </c>
      <c r="F86" s="25">
        <v>1.613777777777778</v>
      </c>
    </row>
    <row r="87" spans="2:8" ht="15" thickBot="1">
      <c r="B87" s="26" t="s">
        <v>1647</v>
      </c>
      <c r="C87" s="26">
        <v>10</v>
      </c>
      <c r="D87" s="26">
        <v>144.29999999999998</v>
      </c>
      <c r="E87" s="26">
        <v>14.429999999999998</v>
      </c>
      <c r="F87" s="26">
        <v>1.0801111111111112</v>
      </c>
    </row>
    <row r="90" spans="2:8" ht="15" thickBot="1">
      <c r="B90" t="s">
        <v>620</v>
      </c>
    </row>
    <row r="91" spans="2:8">
      <c r="B91" s="27" t="s">
        <v>679</v>
      </c>
      <c r="C91" s="27" t="s">
        <v>622</v>
      </c>
      <c r="D91" s="27" t="s">
        <v>621</v>
      </c>
      <c r="E91" s="27" t="s">
        <v>623</v>
      </c>
      <c r="F91" s="27" t="s">
        <v>624</v>
      </c>
      <c r="G91" s="27" t="s">
        <v>631</v>
      </c>
      <c r="H91" s="27" t="s">
        <v>680</v>
      </c>
    </row>
    <row r="92" spans="2:8">
      <c r="B92" s="25" t="s">
        <v>704</v>
      </c>
      <c r="C92" s="25">
        <v>23.654499999999999</v>
      </c>
      <c r="D92" s="25">
        <v>9</v>
      </c>
      <c r="E92" s="25">
        <v>2.6282777777777775</v>
      </c>
      <c r="F92" s="25">
        <v>40.058425063505105</v>
      </c>
      <c r="G92" s="25">
        <v>3.3895357035546773E-6</v>
      </c>
      <c r="H92" s="25">
        <v>3.17889310445827</v>
      </c>
    </row>
    <row r="93" spans="2:8">
      <c r="B93" s="25" t="s">
        <v>706</v>
      </c>
      <c r="C93" s="25">
        <v>1.6244999999999941</v>
      </c>
      <c r="D93" s="25">
        <v>1</v>
      </c>
      <c r="E93" s="25">
        <v>1.6244999999999941</v>
      </c>
      <c r="F93" s="25">
        <v>24.759525825571213</v>
      </c>
      <c r="G93" s="25">
        <v>7.6371713918841364E-4</v>
      </c>
      <c r="H93" s="25">
        <v>5.1173550291992269</v>
      </c>
    </row>
    <row r="94" spans="2:8">
      <c r="B94" s="25" t="s">
        <v>708</v>
      </c>
      <c r="C94" s="25">
        <v>0.5905000000000058</v>
      </c>
      <c r="D94" s="25">
        <v>9</v>
      </c>
      <c r="E94" s="25">
        <v>6.5611111111111758E-2</v>
      </c>
      <c r="F94" s="25"/>
      <c r="G94" s="25"/>
      <c r="H94" s="25"/>
    </row>
    <row r="95" spans="2:8">
      <c r="B95" s="25"/>
      <c r="C95" s="25"/>
      <c r="D95" s="25"/>
      <c r="E95" s="25"/>
      <c r="F95" s="25"/>
      <c r="G95" s="25"/>
      <c r="H95" s="25"/>
    </row>
    <row r="96" spans="2:8" ht="15" thickBot="1">
      <c r="B96" s="26" t="s">
        <v>628</v>
      </c>
      <c r="C96" s="26">
        <v>25.869499999999999</v>
      </c>
      <c r="D96" s="26">
        <v>19</v>
      </c>
      <c r="E96" s="26"/>
      <c r="F96" s="26"/>
      <c r="G96" s="26"/>
      <c r="H96" s="26"/>
    </row>
    <row r="98" spans="1:9">
      <c r="A98" s="11" t="s">
        <v>715</v>
      </c>
      <c r="B98" t="s">
        <v>583</v>
      </c>
      <c r="C98" t="s">
        <v>187</v>
      </c>
      <c r="D98" t="s">
        <v>716</v>
      </c>
      <c r="F98" t="s">
        <v>583</v>
      </c>
      <c r="G98" t="s">
        <v>187</v>
      </c>
      <c r="H98" t="s">
        <v>716</v>
      </c>
    </row>
    <row r="99" spans="1:9">
      <c r="B99">
        <v>10</v>
      </c>
      <c r="C99">
        <v>5</v>
      </c>
      <c r="D99">
        <v>2.5</v>
      </c>
      <c r="F99" s="29">
        <v>10</v>
      </c>
      <c r="G99">
        <v>5</v>
      </c>
      <c r="H99">
        <v>2.5</v>
      </c>
    </row>
    <row r="100" spans="1:9">
      <c r="B100" t="s">
        <v>2</v>
      </c>
      <c r="C100" t="s">
        <v>3</v>
      </c>
      <c r="D100" t="s">
        <v>4</v>
      </c>
      <c r="F100" t="s">
        <v>2</v>
      </c>
      <c r="G100" t="s">
        <v>3</v>
      </c>
      <c r="H100" t="s">
        <v>4</v>
      </c>
    </row>
    <row r="101" spans="1:9">
      <c r="A101" t="s">
        <v>78</v>
      </c>
      <c r="B101">
        <v>0.25</v>
      </c>
      <c r="C101">
        <v>0.5</v>
      </c>
      <c r="D101">
        <v>0.25</v>
      </c>
      <c r="F101">
        <v>0.25</v>
      </c>
      <c r="G101">
        <v>0.5</v>
      </c>
      <c r="H101">
        <v>0.25</v>
      </c>
    </row>
    <row r="102" spans="1:9">
      <c r="A102" t="s">
        <v>551</v>
      </c>
      <c r="B102">
        <f>B99+C99</f>
        <v>15</v>
      </c>
      <c r="C102">
        <f>B99+D99</f>
        <v>12.5</v>
      </c>
      <c r="D102">
        <f>B99-C99</f>
        <v>5</v>
      </c>
      <c r="F102" s="29">
        <f>F99+G99</f>
        <v>15</v>
      </c>
      <c r="G102">
        <f>F99+H99</f>
        <v>12.5</v>
      </c>
      <c r="H102" s="29">
        <f>F99-G99</f>
        <v>5</v>
      </c>
    </row>
    <row r="103" spans="1:9">
      <c r="A103" t="s">
        <v>552</v>
      </c>
      <c r="B103">
        <v>5</v>
      </c>
      <c r="C103">
        <v>5</v>
      </c>
      <c r="D103">
        <v>5</v>
      </c>
      <c r="E103" t="s">
        <v>1670</v>
      </c>
      <c r="F103">
        <v>10</v>
      </c>
      <c r="G103">
        <v>10</v>
      </c>
      <c r="H103">
        <v>10</v>
      </c>
      <c r="I103" t="s">
        <v>10</v>
      </c>
    </row>
    <row r="104" spans="1:9">
      <c r="A104">
        <v>-5</v>
      </c>
      <c r="H104">
        <f t="shared" ref="C104:H115" si="5">H$101*_xlfn.NORM.DIST($A104,H$102,SQRT(H$103),FALSE)</f>
        <v>2.1250916506300872E-4</v>
      </c>
      <c r="I104">
        <f t="shared" ref="I104:I115" si="6">SUM(F104:H104)</f>
        <v>2.1250916506300872E-4</v>
      </c>
    </row>
    <row r="105" spans="1:9">
      <c r="A105">
        <f>A104+1</f>
        <v>-4</v>
      </c>
      <c r="H105">
        <f t="shared" si="5"/>
        <v>5.4948700079656733E-4</v>
      </c>
      <c r="I105">
        <f t="shared" si="6"/>
        <v>5.4948700079656733E-4</v>
      </c>
    </row>
    <row r="106" spans="1:9">
      <c r="A106">
        <f t="shared" ref="A106:A134" si="7">A105+1</f>
        <v>-3</v>
      </c>
      <c r="D106" t="e">
        <f ca="1">D$101*C123($A106,D$102,SQRT(D$103),FALSE)</f>
        <v>#REF!</v>
      </c>
      <c r="E106" t="e">
        <f t="shared" ref="E106:E115" ca="1" si="8">SUM(B106:D106)</f>
        <v>#REF!</v>
      </c>
      <c r="H106">
        <f t="shared" si="5"/>
        <v>1.2856055315879418E-3</v>
      </c>
      <c r="I106">
        <f t="shared" si="6"/>
        <v>1.2856055315879418E-3</v>
      </c>
    </row>
    <row r="107" spans="1:9">
      <c r="A107">
        <f t="shared" si="7"/>
        <v>-2</v>
      </c>
      <c r="D107">
        <f t="shared" si="5"/>
        <v>3.3214071099427683E-4</v>
      </c>
      <c r="E107">
        <f t="shared" si="8"/>
        <v>3.3214071099427683E-4</v>
      </c>
      <c r="H107">
        <f t="shared" si="5"/>
        <v>2.7216269317290186E-3</v>
      </c>
      <c r="I107">
        <f t="shared" si="6"/>
        <v>2.7216269317290186E-3</v>
      </c>
    </row>
    <row r="108" spans="1:9">
      <c r="A108">
        <f t="shared" si="7"/>
        <v>-1</v>
      </c>
      <c r="D108">
        <f t="shared" si="5"/>
        <v>1.2187228040319868E-3</v>
      </c>
      <c r="E108">
        <f t="shared" si="8"/>
        <v>1.2187228040319868E-3</v>
      </c>
      <c r="H108">
        <f t="shared" si="5"/>
        <v>5.2133875090707533E-3</v>
      </c>
      <c r="I108">
        <f t="shared" si="6"/>
        <v>5.2133875090707533E-3</v>
      </c>
    </row>
    <row r="109" spans="1:9">
      <c r="A109">
        <f t="shared" si="7"/>
        <v>0</v>
      </c>
      <c r="D109">
        <f t="shared" si="5"/>
        <v>3.66124564048162E-3</v>
      </c>
      <c r="E109">
        <f t="shared" si="8"/>
        <v>3.66124564048162E-3</v>
      </c>
      <c r="H109">
        <f t="shared" si="5"/>
        <v>9.0361196334090652E-3</v>
      </c>
      <c r="I109">
        <f t="shared" si="6"/>
        <v>9.0361196334090652E-3</v>
      </c>
    </row>
    <row r="110" spans="1:9">
      <c r="A110">
        <f t="shared" si="7"/>
        <v>1</v>
      </c>
      <c r="D110">
        <f t="shared" si="5"/>
        <v>9.0052111680384173E-3</v>
      </c>
      <c r="E110">
        <f t="shared" si="8"/>
        <v>9.0052111680384173E-3</v>
      </c>
      <c r="G110">
        <f t="shared" si="5"/>
        <v>8.4743775463310181E-5</v>
      </c>
      <c r="H110">
        <f t="shared" si="5"/>
        <v>1.417145653062239E-2</v>
      </c>
      <c r="I110">
        <f t="shared" si="6"/>
        <v>1.42562003060857E-2</v>
      </c>
    </row>
    <row r="111" spans="1:9">
      <c r="A111">
        <f t="shared" si="7"/>
        <v>2</v>
      </c>
      <c r="D111">
        <f t="shared" si="5"/>
        <v>1.8134268370980731E-2</v>
      </c>
      <c r="E111">
        <f t="shared" si="8"/>
        <v>1.8134268370980731E-2</v>
      </c>
      <c r="G111">
        <f t="shared" si="5"/>
        <v>2.5458437098782192E-4</v>
      </c>
      <c r="H111">
        <f t="shared" si="5"/>
        <v>2.0110254078906226E-2</v>
      </c>
      <c r="I111">
        <f t="shared" si="6"/>
        <v>2.0364838449894049E-2</v>
      </c>
    </row>
    <row r="112" spans="1:9">
      <c r="A112">
        <f t="shared" si="7"/>
        <v>3</v>
      </c>
      <c r="D112">
        <f t="shared" si="5"/>
        <v>2.9898353991820493E-2</v>
      </c>
      <c r="E112">
        <f t="shared" si="8"/>
        <v>2.9898353991820493E-2</v>
      </c>
      <c r="G112">
        <f t="shared" si="5"/>
        <v>6.9203206946587248E-4</v>
      </c>
      <c r="H112">
        <f t="shared" si="5"/>
        <v>2.5822077373363915E-2</v>
      </c>
      <c r="I112">
        <f t="shared" si="6"/>
        <v>2.6514109442829788E-2</v>
      </c>
    </row>
    <row r="113" spans="1:9">
      <c r="A113">
        <f t="shared" si="7"/>
        <v>4</v>
      </c>
      <c r="C113">
        <f t="shared" si="5"/>
        <v>6.4955725261369099E-5</v>
      </c>
      <c r="D113">
        <f t="shared" si="5"/>
        <v>4.0358556467884055E-2</v>
      </c>
      <c r="E113">
        <f t="shared" si="8"/>
        <v>4.0423512193145425E-2</v>
      </c>
      <c r="F113">
        <f t="shared" si="5"/>
        <v>7.4364978887640252E-5</v>
      </c>
      <c r="G113">
        <f t="shared" si="5"/>
        <v>1.7021242310786427E-3</v>
      </c>
      <c r="H113">
        <f t="shared" si="5"/>
        <v>3.0000973710753401E-2</v>
      </c>
      <c r="I113">
        <f t="shared" si="6"/>
        <v>3.177746292071968E-2</v>
      </c>
    </row>
    <row r="114" spans="1:9">
      <c r="A114">
        <f t="shared" si="7"/>
        <v>5</v>
      </c>
      <c r="C114">
        <f t="shared" si="5"/>
        <v>3.2172781336966188E-4</v>
      </c>
      <c r="D114">
        <f t="shared" si="5"/>
        <v>4.4603102903819282E-2</v>
      </c>
      <c r="E114">
        <f t="shared" si="8"/>
        <v>4.4924830717188946E-2</v>
      </c>
      <c r="F114">
        <f t="shared" si="5"/>
        <v>2.1250916506300872E-4</v>
      </c>
      <c r="G114">
        <f t="shared" si="5"/>
        <v>3.788147141644287E-3</v>
      </c>
      <c r="H114">
        <f t="shared" si="5"/>
        <v>3.1539156525252E-2</v>
      </c>
      <c r="I114">
        <f t="shared" si="6"/>
        <v>3.5539812831959297E-2</v>
      </c>
    </row>
    <row r="115" spans="1:9">
      <c r="A115">
        <f t="shared" si="7"/>
        <v>6</v>
      </c>
      <c r="C115">
        <f t="shared" si="5"/>
        <v>1.3046706181096617E-3</v>
      </c>
      <c r="D115">
        <f t="shared" si="5"/>
        <v>4.0358556467884055E-2</v>
      </c>
      <c r="E115">
        <f t="shared" si="8"/>
        <v>4.1663227085993716E-2</v>
      </c>
      <c r="F115">
        <f t="shared" si="5"/>
        <v>5.4948700079656733E-4</v>
      </c>
      <c r="G115">
        <f t="shared" si="5"/>
        <v>7.6283915627827301E-3</v>
      </c>
      <c r="H115">
        <f t="shared" si="5"/>
        <v>3.0000973710753401E-2</v>
      </c>
      <c r="I115">
        <f t="shared" si="6"/>
        <v>3.8178852274332695E-2</v>
      </c>
    </row>
    <row r="116" spans="1:9">
      <c r="A116">
        <f t="shared" si="7"/>
        <v>7</v>
      </c>
      <c r="B116">
        <f t="shared" ref="B116:H130" si="9">B$101*_xlfn.NORM.DIST($A116,B$102,SQRT(B$103),FALSE)</f>
        <v>7.4110610035966397E-5</v>
      </c>
      <c r="C116">
        <f t="shared" ref="C116:D124" si="10">C$101*_xlfn.NORM.DIST($A116,C$102,SQRT(C$103),FALSE)</f>
        <v>4.3316589977830406E-3</v>
      </c>
      <c r="D116">
        <f t="shared" si="10"/>
        <v>2.9898353991820493E-2</v>
      </c>
      <c r="E116">
        <f t="shared" ref="E116" si="11">SUM(B116:D116)</f>
        <v>3.4304123599639497E-2</v>
      </c>
      <c r="F116">
        <f t="shared" si="9"/>
        <v>1.2856055315879418E-3</v>
      </c>
      <c r="G116">
        <f t="shared" ref="G116:H124" si="12">G$101*_xlfn.NORM.DIST($A116,G$102,SQRT(G$103),FALSE)</f>
        <v>1.3899835683286751E-2</v>
      </c>
      <c r="H116">
        <f t="shared" si="12"/>
        <v>2.5822077373363915E-2</v>
      </c>
      <c r="I116">
        <f t="shared" ref="I116" si="13">SUM(F116:H116)</f>
        <v>4.100751858823861E-2</v>
      </c>
    </row>
    <row r="117" spans="1:9">
      <c r="A117">
        <f t="shared" si="7"/>
        <v>8</v>
      </c>
      <c r="B117">
        <f t="shared" si="9"/>
        <v>3.3214071099427683E-4</v>
      </c>
      <c r="C117">
        <f t="shared" si="10"/>
        <v>1.1774669940754753E-2</v>
      </c>
      <c r="D117">
        <f t="shared" si="10"/>
        <v>1.8134268370980731E-2</v>
      </c>
      <c r="E117">
        <f t="shared" ref="E117:E132" si="14">SUM(B117:D117)</f>
        <v>3.024107902272976E-2</v>
      </c>
      <c r="F117">
        <f t="shared" si="9"/>
        <v>2.7216269317290186E-3</v>
      </c>
      <c r="G117">
        <f t="shared" si="12"/>
        <v>2.2916954750271515E-2</v>
      </c>
      <c r="H117">
        <f t="shared" si="12"/>
        <v>2.0110254078906226E-2</v>
      </c>
      <c r="I117">
        <f t="shared" ref="I117:I134" si="15">SUM(F117:H117)</f>
        <v>4.5748835760906756E-2</v>
      </c>
    </row>
    <row r="118" spans="1:9">
      <c r="A118">
        <f t="shared" si="7"/>
        <v>9</v>
      </c>
      <c r="B118">
        <f t="shared" si="9"/>
        <v>1.2187228040319868E-3</v>
      </c>
      <c r="C118">
        <f t="shared" si="10"/>
        <v>2.6205009872639677E-2</v>
      </c>
      <c r="D118">
        <f t="shared" si="10"/>
        <v>9.0052111680384173E-3</v>
      </c>
      <c r="E118">
        <f t="shared" si="14"/>
        <v>3.6428943844710078E-2</v>
      </c>
      <c r="F118">
        <f t="shared" si="9"/>
        <v>5.2133875090707533E-3</v>
      </c>
      <c r="G118">
        <f t="shared" si="12"/>
        <v>3.4188079091182468E-2</v>
      </c>
      <c r="H118">
        <f t="shared" si="12"/>
        <v>1.417145653062239E-2</v>
      </c>
      <c r="I118">
        <f t="shared" si="15"/>
        <v>5.357292313087561E-2</v>
      </c>
    </row>
    <row r="119" spans="1:9">
      <c r="A119">
        <f t="shared" si="7"/>
        <v>10</v>
      </c>
      <c r="B119">
        <f t="shared" si="9"/>
        <v>3.66124564048162E-3</v>
      </c>
      <c r="C119">
        <f t="shared" si="10"/>
        <v>4.7748641153355656E-2</v>
      </c>
      <c r="D119">
        <f t="shared" si="10"/>
        <v>3.66124564048162E-3</v>
      </c>
      <c r="E119">
        <f t="shared" si="14"/>
        <v>5.5071132434318895E-2</v>
      </c>
      <c r="F119">
        <f t="shared" si="9"/>
        <v>9.0361196334090652E-3</v>
      </c>
      <c r="G119">
        <f t="shared" si="12"/>
        <v>4.6149079675337649E-2</v>
      </c>
      <c r="H119">
        <f t="shared" si="12"/>
        <v>9.0361196334090652E-3</v>
      </c>
      <c r="I119">
        <f t="shared" si="15"/>
        <v>6.4221318942155783E-2</v>
      </c>
    </row>
    <row r="120" spans="1:9">
      <c r="A120">
        <f t="shared" si="7"/>
        <v>11</v>
      </c>
      <c r="B120">
        <f t="shared" si="9"/>
        <v>9.0052111680384173E-3</v>
      </c>
      <c r="C120">
        <f t="shared" si="10"/>
        <v>7.1232602151386326E-2</v>
      </c>
      <c r="D120">
        <f t="shared" si="10"/>
        <v>1.2187228040319868E-3</v>
      </c>
      <c r="E120">
        <f t="shared" si="14"/>
        <v>8.1456536123456727E-2</v>
      </c>
      <c r="F120">
        <f t="shared" si="9"/>
        <v>1.417145653062239E-2</v>
      </c>
      <c r="G120">
        <f t="shared" si="12"/>
        <v>5.6366613202010835E-2</v>
      </c>
      <c r="H120">
        <f t="shared" si="12"/>
        <v>5.2133875090707533E-3</v>
      </c>
      <c r="I120">
        <f t="shared" si="15"/>
        <v>7.5751457241703984E-2</v>
      </c>
    </row>
    <row r="121" spans="1:9">
      <c r="A121">
        <f t="shared" si="7"/>
        <v>12</v>
      </c>
      <c r="B121">
        <f t="shared" si="9"/>
        <v>1.8134268370980731E-2</v>
      </c>
      <c r="C121">
        <f t="shared" si="10"/>
        <v>8.7003696738629302E-2</v>
      </c>
      <c r="D121">
        <f t="shared" si="10"/>
        <v>3.3214071099427683E-4</v>
      </c>
      <c r="E121">
        <f t="shared" si="14"/>
        <v>0.1054701058206043</v>
      </c>
      <c r="F121">
        <f t="shared" si="9"/>
        <v>2.0110254078906226E-2</v>
      </c>
      <c r="G121">
        <f t="shared" si="12"/>
        <v>6.2294741661281239E-2</v>
      </c>
      <c r="H121">
        <f t="shared" si="12"/>
        <v>2.7216269317290186E-3</v>
      </c>
      <c r="I121">
        <f t="shared" si="15"/>
        <v>8.512662267191648E-2</v>
      </c>
    </row>
    <row r="122" spans="1:9">
      <c r="A122">
        <f t="shared" si="7"/>
        <v>13</v>
      </c>
      <c r="B122">
        <f t="shared" si="9"/>
        <v>2.9898353991820493E-2</v>
      </c>
      <c r="C122">
        <f t="shared" si="10"/>
        <v>8.7003696738629302E-2</v>
      </c>
      <c r="D122">
        <f t="shared" si="10"/>
        <v>7.4110610035966397E-5</v>
      </c>
      <c r="E122">
        <f t="shared" si="14"/>
        <v>0.11697616134048576</v>
      </c>
      <c r="F122">
        <f t="shared" si="9"/>
        <v>2.5822077373363915E-2</v>
      </c>
      <c r="G122">
        <f t="shared" si="12"/>
        <v>6.2294741661281239E-2</v>
      </c>
      <c r="H122">
        <f t="shared" si="12"/>
        <v>1.2856055315879418E-3</v>
      </c>
      <c r="I122">
        <f t="shared" si="15"/>
        <v>8.9402424566233096E-2</v>
      </c>
    </row>
    <row r="123" spans="1:9">
      <c r="A123">
        <f t="shared" si="7"/>
        <v>14</v>
      </c>
      <c r="B123">
        <f t="shared" si="9"/>
        <v>4.0358556467884055E-2</v>
      </c>
      <c r="C123">
        <f t="shared" si="10"/>
        <v>7.1232602151386326E-2</v>
      </c>
      <c r="E123">
        <f t="shared" si="14"/>
        <v>0.11159115861927038</v>
      </c>
      <c r="F123">
        <f t="shared" si="9"/>
        <v>3.0000973710753401E-2</v>
      </c>
      <c r="G123">
        <f t="shared" si="12"/>
        <v>5.6366613202010835E-2</v>
      </c>
      <c r="H123">
        <f t="shared" si="12"/>
        <v>5.4948700079656733E-4</v>
      </c>
      <c r="I123">
        <f t="shared" si="15"/>
        <v>8.6917073913560808E-2</v>
      </c>
    </row>
    <row r="124" spans="1:9">
      <c r="A124">
        <f t="shared" si="7"/>
        <v>15</v>
      </c>
      <c r="B124">
        <f t="shared" si="9"/>
        <v>4.4603102903819282E-2</v>
      </c>
      <c r="C124">
        <f t="shared" si="10"/>
        <v>4.7748641153355656E-2</v>
      </c>
      <c r="E124">
        <f t="shared" si="14"/>
        <v>9.2351744057174945E-2</v>
      </c>
      <c r="F124">
        <f t="shared" si="9"/>
        <v>3.1539156525252E-2</v>
      </c>
      <c r="G124">
        <f t="shared" si="12"/>
        <v>4.6149079675337649E-2</v>
      </c>
      <c r="H124">
        <f t="shared" si="12"/>
        <v>2.1250916506300872E-4</v>
      </c>
      <c r="I124">
        <f t="shared" si="15"/>
        <v>7.7900745365652654E-2</v>
      </c>
    </row>
    <row r="125" spans="1:9">
      <c r="A125">
        <f t="shared" si="7"/>
        <v>16</v>
      </c>
      <c r="B125">
        <f t="shared" si="9"/>
        <v>4.0358556467884055E-2</v>
      </c>
      <c r="C125">
        <f t="shared" si="9"/>
        <v>2.6205009872639677E-2</v>
      </c>
      <c r="E125">
        <f t="shared" si="14"/>
        <v>6.6563566340523739E-2</v>
      </c>
      <c r="F125">
        <f t="shared" si="9"/>
        <v>3.0000973710753401E-2</v>
      </c>
      <c r="G125">
        <f t="shared" si="9"/>
        <v>3.4188079091182468E-2</v>
      </c>
      <c r="H125">
        <f t="shared" si="9"/>
        <v>7.4364978887640252E-5</v>
      </c>
      <c r="I125">
        <f t="shared" si="15"/>
        <v>6.426341778082352E-2</v>
      </c>
    </row>
    <row r="126" spans="1:9">
      <c r="A126">
        <f t="shared" si="7"/>
        <v>17</v>
      </c>
      <c r="B126">
        <f t="shared" si="9"/>
        <v>2.9898353991820493E-2</v>
      </c>
      <c r="C126">
        <f t="shared" si="9"/>
        <v>1.1774669940754753E-2</v>
      </c>
      <c r="E126">
        <f t="shared" si="14"/>
        <v>4.1673023932575243E-2</v>
      </c>
      <c r="F126">
        <f t="shared" si="9"/>
        <v>2.5822077373363915E-2</v>
      </c>
      <c r="G126">
        <f t="shared" si="9"/>
        <v>2.2916954750271515E-2</v>
      </c>
      <c r="I126">
        <f t="shared" si="15"/>
        <v>4.873903212363543E-2</v>
      </c>
    </row>
    <row r="127" spans="1:9">
      <c r="A127">
        <f t="shared" si="7"/>
        <v>18</v>
      </c>
      <c r="B127">
        <f t="shared" si="9"/>
        <v>1.8134268370980731E-2</v>
      </c>
      <c r="C127">
        <f t="shared" si="9"/>
        <v>4.3316589977830406E-3</v>
      </c>
      <c r="E127">
        <f t="shared" si="14"/>
        <v>2.2465927368763773E-2</v>
      </c>
      <c r="F127">
        <f t="shared" si="9"/>
        <v>2.0110254078906226E-2</v>
      </c>
      <c r="G127">
        <f t="shared" si="9"/>
        <v>1.3899835683286751E-2</v>
      </c>
      <c r="I127">
        <f t="shared" si="15"/>
        <v>3.4010089762192976E-2</v>
      </c>
    </row>
    <row r="128" spans="1:9">
      <c r="A128">
        <f t="shared" si="7"/>
        <v>19</v>
      </c>
      <c r="B128">
        <f t="shared" si="9"/>
        <v>9.0052111680384173E-3</v>
      </c>
      <c r="C128">
        <f t="shared" si="9"/>
        <v>1.3046706181096617E-3</v>
      </c>
      <c r="E128">
        <f t="shared" si="14"/>
        <v>1.0309881786148079E-2</v>
      </c>
      <c r="F128">
        <f t="shared" si="9"/>
        <v>1.417145653062239E-2</v>
      </c>
      <c r="G128">
        <f t="shared" si="9"/>
        <v>7.6283915627827301E-3</v>
      </c>
      <c r="I128">
        <f t="shared" si="15"/>
        <v>2.1799848093405121E-2</v>
      </c>
    </row>
    <row r="129" spans="1:19">
      <c r="A129">
        <f t="shared" si="7"/>
        <v>20</v>
      </c>
      <c r="B129">
        <f t="shared" si="9"/>
        <v>3.66124564048162E-3</v>
      </c>
      <c r="C129">
        <f t="shared" si="9"/>
        <v>3.2172781336966188E-4</v>
      </c>
      <c r="E129">
        <f t="shared" si="14"/>
        <v>3.982973453851282E-3</v>
      </c>
      <c r="F129">
        <f t="shared" si="9"/>
        <v>9.0361196334090652E-3</v>
      </c>
      <c r="G129">
        <f t="shared" si="9"/>
        <v>3.788147141644287E-3</v>
      </c>
      <c r="I129">
        <f t="shared" si="15"/>
        <v>1.2824266775053352E-2</v>
      </c>
    </row>
    <row r="130" spans="1:19">
      <c r="A130">
        <f t="shared" si="7"/>
        <v>21</v>
      </c>
      <c r="B130">
        <f t="shared" si="9"/>
        <v>1.2187228040319868E-3</v>
      </c>
      <c r="C130">
        <f t="shared" si="9"/>
        <v>6.4955725261369099E-5</v>
      </c>
      <c r="E130">
        <f t="shared" si="14"/>
        <v>1.283678529293356E-3</v>
      </c>
      <c r="F130">
        <f t="shared" si="9"/>
        <v>5.2133875090707533E-3</v>
      </c>
      <c r="G130">
        <f t="shared" si="9"/>
        <v>1.7021242310786427E-3</v>
      </c>
      <c r="I130">
        <f t="shared" si="15"/>
        <v>6.9155117401493958E-3</v>
      </c>
    </row>
    <row r="131" spans="1:19">
      <c r="A131">
        <f t="shared" si="7"/>
        <v>22</v>
      </c>
      <c r="B131">
        <f t="shared" ref="B131:G134" si="16">B$101*_xlfn.NORM.DIST($A131,B$102,SQRT(B$103),FALSE)</f>
        <v>3.3214071099427683E-4</v>
      </c>
      <c r="E131">
        <f t="shared" si="14"/>
        <v>3.3214071099427683E-4</v>
      </c>
      <c r="F131">
        <f t="shared" si="16"/>
        <v>2.7216269317290186E-3</v>
      </c>
      <c r="G131">
        <f t="shared" si="16"/>
        <v>6.9203206946587248E-4</v>
      </c>
      <c r="I131">
        <f t="shared" si="15"/>
        <v>3.4136590011948909E-3</v>
      </c>
    </row>
    <row r="132" spans="1:19">
      <c r="A132">
        <f t="shared" si="7"/>
        <v>23</v>
      </c>
      <c r="B132">
        <f t="shared" si="16"/>
        <v>7.4110610035966397E-5</v>
      </c>
      <c r="E132">
        <f t="shared" si="14"/>
        <v>7.4110610035966397E-5</v>
      </c>
      <c r="F132">
        <f t="shared" si="16"/>
        <v>1.2856055315879418E-3</v>
      </c>
      <c r="G132">
        <f t="shared" si="16"/>
        <v>2.5458437098782192E-4</v>
      </c>
      <c r="I132">
        <f t="shared" si="15"/>
        <v>1.5401899025757637E-3</v>
      </c>
    </row>
    <row r="133" spans="1:19">
      <c r="A133">
        <f t="shared" si="7"/>
        <v>24</v>
      </c>
      <c r="F133">
        <f t="shared" si="16"/>
        <v>5.4948700079656733E-4</v>
      </c>
      <c r="G133">
        <f t="shared" si="16"/>
        <v>8.4743775463310181E-5</v>
      </c>
      <c r="I133">
        <f t="shared" si="15"/>
        <v>6.3423077625987751E-4</v>
      </c>
    </row>
    <row r="134" spans="1:19">
      <c r="A134">
        <f t="shared" si="7"/>
        <v>25</v>
      </c>
      <c r="F134">
        <f t="shared" si="16"/>
        <v>2.1250916506300872E-4</v>
      </c>
      <c r="I134">
        <f t="shared" si="15"/>
        <v>2.1250916506300872E-4</v>
      </c>
    </row>
    <row r="136" spans="1:19">
      <c r="A136" s="11" t="s">
        <v>717</v>
      </c>
    </row>
    <row r="137" spans="1:19">
      <c r="A137" t="s">
        <v>718</v>
      </c>
      <c r="B137">
        <v>5</v>
      </c>
      <c r="C137">
        <v>6</v>
      </c>
      <c r="D137">
        <v>7</v>
      </c>
      <c r="E137">
        <v>8</v>
      </c>
      <c r="F137">
        <v>9</v>
      </c>
      <c r="G137">
        <v>10</v>
      </c>
      <c r="H137">
        <v>11</v>
      </c>
      <c r="I137">
        <v>12</v>
      </c>
      <c r="J137">
        <v>13</v>
      </c>
      <c r="K137">
        <v>14</v>
      </c>
      <c r="L137">
        <v>15</v>
      </c>
      <c r="M137">
        <v>16</v>
      </c>
      <c r="N137">
        <v>17</v>
      </c>
      <c r="O137">
        <v>18</v>
      </c>
      <c r="P137">
        <v>19</v>
      </c>
      <c r="Q137">
        <v>20</v>
      </c>
      <c r="R137">
        <v>21</v>
      </c>
      <c r="S137" t="s">
        <v>414</v>
      </c>
    </row>
    <row r="138" spans="1:19" ht="16.2">
      <c r="A138" s="30" t="s">
        <v>719</v>
      </c>
      <c r="B138">
        <v>4</v>
      </c>
      <c r="C138">
        <v>21</v>
      </c>
      <c r="D138">
        <v>24</v>
      </c>
      <c r="E138">
        <v>8</v>
      </c>
      <c r="S138">
        <f>SUM(B138:R138)</f>
        <v>57</v>
      </c>
    </row>
    <row r="139" spans="1:19" ht="16.2">
      <c r="A139" s="30" t="s">
        <v>720</v>
      </c>
      <c r="F139">
        <v>1</v>
      </c>
      <c r="G139">
        <v>12</v>
      </c>
      <c r="H139">
        <v>12</v>
      </c>
      <c r="I139">
        <v>14</v>
      </c>
      <c r="J139">
        <v>17</v>
      </c>
      <c r="K139">
        <v>9</v>
      </c>
      <c r="L139">
        <v>4</v>
      </c>
      <c r="S139">
        <f t="shared" ref="S139:S141" si="17">SUM(B139:R139)</f>
        <v>69</v>
      </c>
    </row>
    <row r="140" spans="1:19" ht="16.2">
      <c r="A140" s="30" t="s">
        <v>721</v>
      </c>
      <c r="J140">
        <v>3</v>
      </c>
      <c r="K140">
        <v>11</v>
      </c>
      <c r="L140">
        <v>12</v>
      </c>
      <c r="M140">
        <v>15</v>
      </c>
      <c r="N140">
        <v>26</v>
      </c>
      <c r="O140">
        <v>15</v>
      </c>
      <c r="P140">
        <v>10</v>
      </c>
      <c r="Q140">
        <v>7</v>
      </c>
      <c r="R140">
        <v>2</v>
      </c>
      <c r="S140">
        <f t="shared" si="17"/>
        <v>101</v>
      </c>
    </row>
    <row r="141" spans="1:19" ht="16.2">
      <c r="A141" s="31" t="s">
        <v>722</v>
      </c>
      <c r="D141">
        <v>4</v>
      </c>
      <c r="E141">
        <v>5</v>
      </c>
      <c r="F141">
        <v>22</v>
      </c>
      <c r="G141">
        <v>56</v>
      </c>
      <c r="H141">
        <v>80</v>
      </c>
      <c r="I141">
        <v>145</v>
      </c>
      <c r="J141">
        <v>129</v>
      </c>
      <c r="K141">
        <v>91</v>
      </c>
      <c r="L141">
        <v>63</v>
      </c>
      <c r="M141">
        <v>27</v>
      </c>
      <c r="N141">
        <v>17</v>
      </c>
      <c r="O141">
        <v>6</v>
      </c>
      <c r="P141">
        <v>1</v>
      </c>
      <c r="S141">
        <f t="shared" si="17"/>
        <v>646</v>
      </c>
    </row>
    <row r="142" spans="1:19">
      <c r="A142" s="3" t="s">
        <v>1671</v>
      </c>
      <c r="B142" t="s">
        <v>551</v>
      </c>
      <c r="C142" t="s">
        <v>552</v>
      </c>
    </row>
    <row r="143" spans="1:19" ht="16.2">
      <c r="A143" s="30" t="s">
        <v>719</v>
      </c>
      <c r="B143" s="13">
        <f>SUMPRODUCT(B138:R138,B137:R137)/S138</f>
        <v>6.6315789473684212</v>
      </c>
      <c r="C143" s="13">
        <f>SUMPRODUCT(B138:R138,(B137:R137)^2)/S138-B143^2</f>
        <v>0.6537396121883603</v>
      </c>
    </row>
    <row r="144" spans="1:19" ht="16.2">
      <c r="A144" s="30" t="s">
        <v>720</v>
      </c>
      <c r="B144" s="13">
        <f>SUMPRODUCT(B139:R139,B137:R137)/S139</f>
        <v>12.115942028985508</v>
      </c>
      <c r="C144" s="13">
        <f>SUMPRODUCT(B139:R139,(B137:R137)^2)/S139-B144^2</f>
        <v>2.2764125183784643</v>
      </c>
    </row>
    <row r="145" spans="1:7" ht="16.2">
      <c r="A145" s="30" t="s">
        <v>721</v>
      </c>
      <c r="B145" s="13">
        <f>SUMPRODUCT(B140:R140,B137:R137)/S140</f>
        <v>16.801980198019802</v>
      </c>
      <c r="C145" s="13">
        <f>SUMPRODUCT(B140:R140,(B137:R137)^2)/S140-B145^2</f>
        <v>3.5251445936672781</v>
      </c>
    </row>
    <row r="146" spans="1:7" ht="16.2">
      <c r="A146" s="31" t="s">
        <v>722</v>
      </c>
      <c r="B146" s="13">
        <f>SUMPRODUCT(B141:R141,B137:R137)/S141</f>
        <v>12.678018575851393</v>
      </c>
      <c r="C146" s="13">
        <f>SUMPRODUCT(B141:R141,(B137:R137)^2)/S141-B146^2</f>
        <v>3.9737273433082123</v>
      </c>
    </row>
    <row r="147" spans="1:7">
      <c r="A147" s="33" t="s">
        <v>723</v>
      </c>
      <c r="B147" s="13"/>
      <c r="C147" s="13">
        <f>SUMPRODUCT(S138:S140,C143:C145)/SUM(S138:S140)</f>
        <v>2.4245604653006416</v>
      </c>
    </row>
    <row r="148" spans="1:7">
      <c r="A148" s="3" t="s">
        <v>724</v>
      </c>
      <c r="B148" s="13"/>
      <c r="C148" s="13">
        <f>(B143-B145)^2/(8*(C146-C147))</f>
        <v>8.3461845740825407</v>
      </c>
    </row>
    <row r="150" spans="1:7">
      <c r="A150" s="11" t="s">
        <v>725</v>
      </c>
      <c r="B150" t="s">
        <v>726</v>
      </c>
    </row>
    <row r="152" spans="1:7">
      <c r="A152" s="11" t="s">
        <v>727</v>
      </c>
      <c r="B152" t="s">
        <v>726</v>
      </c>
    </row>
    <row r="154" spans="1:7">
      <c r="A154" s="11" t="s">
        <v>728</v>
      </c>
      <c r="B154" t="s">
        <v>729</v>
      </c>
      <c r="C154" t="s">
        <v>2</v>
      </c>
      <c r="D154" t="s">
        <v>3</v>
      </c>
      <c r="E154" t="s">
        <v>4</v>
      </c>
      <c r="F154" t="s">
        <v>551</v>
      </c>
      <c r="G154" t="s">
        <v>552</v>
      </c>
    </row>
    <row r="155" spans="1:7" ht="16.8">
      <c r="B155" t="s">
        <v>78</v>
      </c>
      <c r="C155" s="22" t="s">
        <v>730</v>
      </c>
      <c r="D155" s="34" t="s">
        <v>731</v>
      </c>
      <c r="E155" s="22" t="s">
        <v>730</v>
      </c>
      <c r="F155" t="s">
        <v>732</v>
      </c>
      <c r="G155" t="s">
        <v>733</v>
      </c>
    </row>
    <row r="156" spans="1:7">
      <c r="B156" t="s">
        <v>734</v>
      </c>
      <c r="C156" t="s">
        <v>735</v>
      </c>
      <c r="D156" t="s">
        <v>736</v>
      </c>
      <c r="E156" t="s">
        <v>737</v>
      </c>
    </row>
    <row r="157" spans="1:7" ht="16.8">
      <c r="B157" t="s">
        <v>738</v>
      </c>
      <c r="C157" s="22" t="s">
        <v>739</v>
      </c>
      <c r="D157" s="34" t="s">
        <v>740</v>
      </c>
      <c r="E157" s="22" t="s">
        <v>739</v>
      </c>
      <c r="F157" t="s">
        <v>741</v>
      </c>
      <c r="G157" t="s">
        <v>742</v>
      </c>
    </row>
    <row r="158" spans="1:7" ht="16.8">
      <c r="B158" t="s">
        <v>743</v>
      </c>
      <c r="C158" t="s">
        <v>735</v>
      </c>
      <c r="D158" t="s">
        <v>744</v>
      </c>
      <c r="E158" t="s">
        <v>737</v>
      </c>
      <c r="F158" t="s">
        <v>741</v>
      </c>
      <c r="G158" t="s">
        <v>745</v>
      </c>
    </row>
    <row r="159" spans="1:7" ht="16.8">
      <c r="B159" t="s">
        <v>746</v>
      </c>
      <c r="C159">
        <v>0</v>
      </c>
      <c r="D159" s="14" t="s">
        <v>747</v>
      </c>
      <c r="E159">
        <v>0</v>
      </c>
      <c r="F159" t="s">
        <v>741</v>
      </c>
      <c r="G159" t="s">
        <v>748</v>
      </c>
    </row>
    <row r="160" spans="1:7" ht="16.8">
      <c r="B160" t="s">
        <v>749</v>
      </c>
      <c r="C160" s="14" t="s">
        <v>750</v>
      </c>
    </row>
    <row r="162" spans="1:21" ht="16.8">
      <c r="A162" s="11" t="s">
        <v>751</v>
      </c>
      <c r="B162" t="s">
        <v>260</v>
      </c>
      <c r="C162" t="s">
        <v>583</v>
      </c>
      <c r="D162" t="s">
        <v>752</v>
      </c>
      <c r="E162" t="s">
        <v>753</v>
      </c>
      <c r="F162" t="s">
        <v>754</v>
      </c>
      <c r="G162" t="s">
        <v>755</v>
      </c>
      <c r="H162" t="s">
        <v>4</v>
      </c>
      <c r="I162" t="s">
        <v>756</v>
      </c>
      <c r="J162" t="s">
        <v>757</v>
      </c>
      <c r="K162" t="s">
        <v>758</v>
      </c>
    </row>
    <row r="163" spans="1:21">
      <c r="B163" t="s">
        <v>291</v>
      </c>
      <c r="C163">
        <v>1</v>
      </c>
      <c r="D163">
        <v>1</v>
      </c>
      <c r="E163">
        <v>0</v>
      </c>
      <c r="F163">
        <v>1</v>
      </c>
      <c r="G163">
        <v>0</v>
      </c>
      <c r="H163">
        <f>D163*F163</f>
        <v>1</v>
      </c>
      <c r="I163">
        <f>D163*G163</f>
        <v>0</v>
      </c>
      <c r="J163">
        <f>E163*F163</f>
        <v>0</v>
      </c>
      <c r="K163">
        <f>E163*G163</f>
        <v>0</v>
      </c>
      <c r="L163" t="s">
        <v>759</v>
      </c>
      <c r="M163">
        <f t="array" ref="M163:U171">MINVERSE(C163:K171)</f>
        <v>0.25</v>
      </c>
      <c r="N163">
        <v>0</v>
      </c>
      <c r="O163">
        <v>0.25</v>
      </c>
      <c r="P163">
        <v>0</v>
      </c>
      <c r="Q163">
        <v>0</v>
      </c>
      <c r="R163">
        <v>0</v>
      </c>
      <c r="S163">
        <v>0.25</v>
      </c>
      <c r="T163">
        <v>0</v>
      </c>
      <c r="U163">
        <v>0.25</v>
      </c>
    </row>
    <row r="164" spans="1:21">
      <c r="B164" t="s">
        <v>292</v>
      </c>
      <c r="C164">
        <v>1</v>
      </c>
      <c r="D164">
        <v>1</v>
      </c>
      <c r="E164">
        <v>0</v>
      </c>
      <c r="F164">
        <v>0</v>
      </c>
      <c r="G164">
        <v>1</v>
      </c>
      <c r="H164">
        <f t="shared" ref="H164:H171" si="18">D164*F164</f>
        <v>0</v>
      </c>
      <c r="I164">
        <f t="shared" ref="I164:I171" si="19">D164*G164</f>
        <v>1</v>
      </c>
      <c r="J164">
        <f t="shared" ref="J164:J171" si="20">E164*F164</f>
        <v>0</v>
      </c>
      <c r="K164">
        <f t="shared" ref="K164:K171" si="21">E164*G164</f>
        <v>0</v>
      </c>
      <c r="L164" t="s">
        <v>759</v>
      </c>
      <c r="M164">
        <v>0.25</v>
      </c>
      <c r="N164">
        <v>0</v>
      </c>
      <c r="O164">
        <v>0.25</v>
      </c>
      <c r="P164">
        <v>0</v>
      </c>
      <c r="Q164">
        <v>0</v>
      </c>
      <c r="R164">
        <v>0</v>
      </c>
      <c r="S164">
        <v>-0.25</v>
      </c>
      <c r="T164">
        <v>0</v>
      </c>
      <c r="U164">
        <v>-0.25</v>
      </c>
    </row>
    <row r="165" spans="1:21">
      <c r="B165" t="s">
        <v>293</v>
      </c>
      <c r="C165">
        <v>1</v>
      </c>
      <c r="D165">
        <v>1</v>
      </c>
      <c r="E165">
        <v>0</v>
      </c>
      <c r="F165">
        <v>-1</v>
      </c>
      <c r="G165">
        <v>0</v>
      </c>
      <c r="H165">
        <f t="shared" si="18"/>
        <v>-1</v>
      </c>
      <c r="I165">
        <f t="shared" si="19"/>
        <v>0</v>
      </c>
      <c r="J165">
        <f t="shared" si="20"/>
        <v>0</v>
      </c>
      <c r="K165">
        <f t="shared" si="21"/>
        <v>0</v>
      </c>
      <c r="L165" t="s">
        <v>759</v>
      </c>
      <c r="M165">
        <v>-0.25</v>
      </c>
      <c r="N165">
        <v>0</v>
      </c>
      <c r="O165">
        <v>-0.25</v>
      </c>
      <c r="P165">
        <v>0.5</v>
      </c>
      <c r="Q165">
        <v>0</v>
      </c>
      <c r="R165">
        <v>0.5</v>
      </c>
      <c r="S165">
        <v>-0.25</v>
      </c>
      <c r="T165">
        <v>0</v>
      </c>
      <c r="U165">
        <v>-0.25</v>
      </c>
    </row>
    <row r="166" spans="1:21">
      <c r="B166" t="s">
        <v>294</v>
      </c>
      <c r="C166">
        <v>1</v>
      </c>
      <c r="D166">
        <v>0</v>
      </c>
      <c r="E166">
        <v>1</v>
      </c>
      <c r="F166">
        <v>1</v>
      </c>
      <c r="G166">
        <v>0</v>
      </c>
      <c r="H166">
        <f t="shared" si="18"/>
        <v>0</v>
      </c>
      <c r="I166">
        <f t="shared" si="19"/>
        <v>0</v>
      </c>
      <c r="J166">
        <f t="shared" si="20"/>
        <v>1</v>
      </c>
      <c r="K166">
        <f t="shared" si="21"/>
        <v>0</v>
      </c>
      <c r="L166" t="s">
        <v>759</v>
      </c>
      <c r="M166">
        <v>0.25</v>
      </c>
      <c r="N166">
        <v>0</v>
      </c>
      <c r="O166">
        <v>-0.25</v>
      </c>
      <c r="P166">
        <v>0</v>
      </c>
      <c r="Q166">
        <v>0</v>
      </c>
      <c r="R166">
        <v>0</v>
      </c>
      <c r="S166">
        <v>0.25</v>
      </c>
      <c r="T166">
        <v>0</v>
      </c>
      <c r="U166">
        <v>-0.25</v>
      </c>
    </row>
    <row r="167" spans="1:21">
      <c r="B167" t="s">
        <v>295</v>
      </c>
      <c r="C167">
        <v>1</v>
      </c>
      <c r="D167">
        <v>0</v>
      </c>
      <c r="E167">
        <v>1</v>
      </c>
      <c r="F167">
        <v>0</v>
      </c>
      <c r="G167">
        <v>1</v>
      </c>
      <c r="H167">
        <f t="shared" si="18"/>
        <v>0</v>
      </c>
      <c r="I167">
        <f t="shared" si="19"/>
        <v>0</v>
      </c>
      <c r="J167">
        <f t="shared" si="20"/>
        <v>0</v>
      </c>
      <c r="K167">
        <f t="shared" si="21"/>
        <v>1</v>
      </c>
      <c r="L167" t="s">
        <v>759</v>
      </c>
      <c r="M167">
        <v>-0.25</v>
      </c>
      <c r="N167">
        <v>0.5</v>
      </c>
      <c r="O167">
        <v>-0.25</v>
      </c>
      <c r="P167">
        <v>0</v>
      </c>
      <c r="Q167">
        <v>0</v>
      </c>
      <c r="R167">
        <v>0</v>
      </c>
      <c r="S167">
        <v>-0.25</v>
      </c>
      <c r="T167">
        <v>0.5</v>
      </c>
      <c r="U167">
        <v>-0.25</v>
      </c>
    </row>
    <row r="168" spans="1:21">
      <c r="B168" t="s">
        <v>296</v>
      </c>
      <c r="C168">
        <v>1</v>
      </c>
      <c r="D168">
        <v>0</v>
      </c>
      <c r="E168">
        <v>1</v>
      </c>
      <c r="F168">
        <v>-1</v>
      </c>
      <c r="G168">
        <v>0</v>
      </c>
      <c r="H168">
        <f t="shared" si="18"/>
        <v>0</v>
      </c>
      <c r="I168">
        <f t="shared" si="19"/>
        <v>0</v>
      </c>
      <c r="J168">
        <f t="shared" si="20"/>
        <v>-1</v>
      </c>
      <c r="K168">
        <f t="shared" si="21"/>
        <v>0</v>
      </c>
      <c r="L168" t="s">
        <v>759</v>
      </c>
      <c r="M168">
        <v>0.25</v>
      </c>
      <c r="N168">
        <v>0</v>
      </c>
      <c r="O168">
        <v>-0.25</v>
      </c>
      <c r="P168">
        <v>0</v>
      </c>
      <c r="Q168">
        <v>0</v>
      </c>
      <c r="R168">
        <v>0</v>
      </c>
      <c r="S168">
        <v>-0.25</v>
      </c>
      <c r="T168">
        <v>0</v>
      </c>
      <c r="U168">
        <v>0.25</v>
      </c>
    </row>
    <row r="169" spans="1:21">
      <c r="B169" t="s">
        <v>297</v>
      </c>
      <c r="C169">
        <v>1</v>
      </c>
      <c r="D169">
        <v>-1</v>
      </c>
      <c r="E169">
        <v>0</v>
      </c>
      <c r="F169">
        <v>1</v>
      </c>
      <c r="G169">
        <v>0</v>
      </c>
      <c r="H169">
        <f t="shared" si="18"/>
        <v>-1</v>
      </c>
      <c r="I169">
        <f t="shared" si="19"/>
        <v>0</v>
      </c>
      <c r="J169">
        <f t="shared" si="20"/>
        <v>0</v>
      </c>
      <c r="K169">
        <f t="shared" si="21"/>
        <v>0</v>
      </c>
      <c r="L169" t="s">
        <v>759</v>
      </c>
      <c r="M169">
        <v>-0.25</v>
      </c>
      <c r="N169">
        <v>0.5</v>
      </c>
      <c r="O169">
        <v>-0.25</v>
      </c>
      <c r="P169">
        <v>0</v>
      </c>
      <c r="Q169">
        <v>0</v>
      </c>
      <c r="R169">
        <v>0</v>
      </c>
      <c r="S169">
        <v>0.25</v>
      </c>
      <c r="T169">
        <v>-0.5</v>
      </c>
      <c r="U169">
        <v>0.25</v>
      </c>
    </row>
    <row r="170" spans="1:21">
      <c r="B170" t="s">
        <v>316</v>
      </c>
      <c r="C170">
        <v>1</v>
      </c>
      <c r="D170">
        <v>-1</v>
      </c>
      <c r="E170">
        <v>0</v>
      </c>
      <c r="F170">
        <v>0</v>
      </c>
      <c r="G170">
        <v>1</v>
      </c>
      <c r="H170">
        <f t="shared" si="18"/>
        <v>0</v>
      </c>
      <c r="I170">
        <f t="shared" si="19"/>
        <v>-1</v>
      </c>
      <c r="J170">
        <f t="shared" si="20"/>
        <v>0</v>
      </c>
      <c r="K170">
        <f t="shared" si="21"/>
        <v>0</v>
      </c>
      <c r="L170" t="s">
        <v>759</v>
      </c>
      <c r="M170">
        <v>-0.25</v>
      </c>
      <c r="N170">
        <v>0</v>
      </c>
      <c r="O170">
        <v>0.25</v>
      </c>
      <c r="P170">
        <v>0.5</v>
      </c>
      <c r="Q170">
        <v>0</v>
      </c>
      <c r="R170">
        <v>-0.5</v>
      </c>
      <c r="S170">
        <v>-0.25</v>
      </c>
      <c r="T170">
        <v>0</v>
      </c>
      <c r="U170">
        <v>0.25</v>
      </c>
    </row>
    <row r="171" spans="1:21">
      <c r="B171" t="s">
        <v>317</v>
      </c>
      <c r="C171">
        <v>1</v>
      </c>
      <c r="D171">
        <v>-1</v>
      </c>
      <c r="E171">
        <v>0</v>
      </c>
      <c r="F171">
        <v>-1</v>
      </c>
      <c r="G171">
        <v>0</v>
      </c>
      <c r="H171">
        <f t="shared" si="18"/>
        <v>1</v>
      </c>
      <c r="I171">
        <f t="shared" si="19"/>
        <v>0</v>
      </c>
      <c r="J171">
        <f t="shared" si="20"/>
        <v>0</v>
      </c>
      <c r="K171">
        <f t="shared" si="21"/>
        <v>0</v>
      </c>
      <c r="L171" t="s">
        <v>759</v>
      </c>
      <c r="M171">
        <v>0.25</v>
      </c>
      <c r="N171">
        <v>-0.5</v>
      </c>
      <c r="O171">
        <v>0.25</v>
      </c>
      <c r="P171">
        <v>-0.5</v>
      </c>
      <c r="Q171">
        <v>1</v>
      </c>
      <c r="R171">
        <v>-0.5</v>
      </c>
      <c r="S171">
        <v>0.25</v>
      </c>
      <c r="T171">
        <v>-0.5</v>
      </c>
      <c r="U171">
        <v>0.25</v>
      </c>
    </row>
    <row r="173" spans="1:21">
      <c r="B173" t="s">
        <v>260</v>
      </c>
      <c r="C173" t="s">
        <v>760</v>
      </c>
      <c r="D173" t="s">
        <v>761</v>
      </c>
      <c r="E173" t="s">
        <v>761</v>
      </c>
      <c r="F173" t="s">
        <v>762</v>
      </c>
      <c r="G173" t="s">
        <v>763</v>
      </c>
      <c r="H173" t="s">
        <v>760</v>
      </c>
      <c r="I173" t="s">
        <v>761</v>
      </c>
      <c r="J173" t="s">
        <v>761</v>
      </c>
      <c r="K173" t="s">
        <v>762</v>
      </c>
    </row>
    <row r="174" spans="1:21">
      <c r="B174" t="s">
        <v>291</v>
      </c>
      <c r="C174">
        <v>6</v>
      </c>
      <c r="D174">
        <v>5</v>
      </c>
      <c r="E174">
        <v>5</v>
      </c>
      <c r="F174">
        <v>5</v>
      </c>
      <c r="G174" t="s">
        <v>583</v>
      </c>
      <c r="H174">
        <f t="array" ref="H174:H182">MMULT(M163:U171,C174:C182)</f>
        <v>4</v>
      </c>
      <c r="I174">
        <f t="array" ref="I174:I182">MMULT(M163:U171,D174:D182)</f>
        <v>4</v>
      </c>
      <c r="J174">
        <f t="array" ref="J174:J182">MMULT(M163:U171,E174:E182)</f>
        <v>4</v>
      </c>
      <c r="K174">
        <f t="array" ref="K174:K182">MMULT(M163:U171,F174:F182)</f>
        <v>4</v>
      </c>
    </row>
    <row r="175" spans="1:21" ht="16.8">
      <c r="B175" t="s">
        <v>292</v>
      </c>
      <c r="C175">
        <v>5</v>
      </c>
      <c r="D175">
        <v>5</v>
      </c>
      <c r="E175">
        <v>5</v>
      </c>
      <c r="F175">
        <v>8</v>
      </c>
      <c r="G175" t="s">
        <v>752</v>
      </c>
      <c r="H175">
        <v>1</v>
      </c>
      <c r="I175">
        <v>0.5</v>
      </c>
      <c r="J175">
        <v>1</v>
      </c>
      <c r="K175">
        <v>2</v>
      </c>
    </row>
    <row r="176" spans="1:21" ht="16.8">
      <c r="B176" t="s">
        <v>293</v>
      </c>
      <c r="C176">
        <v>4</v>
      </c>
      <c r="D176">
        <v>4</v>
      </c>
      <c r="E176">
        <v>5</v>
      </c>
      <c r="F176">
        <v>7</v>
      </c>
      <c r="G176" t="s">
        <v>753</v>
      </c>
      <c r="H176">
        <v>0</v>
      </c>
      <c r="I176">
        <v>0.5</v>
      </c>
      <c r="J176">
        <v>1</v>
      </c>
      <c r="K176">
        <v>1</v>
      </c>
    </row>
    <row r="177" spans="1:11" ht="16.8">
      <c r="B177" t="s">
        <v>294</v>
      </c>
      <c r="C177">
        <v>5</v>
      </c>
      <c r="D177">
        <v>5</v>
      </c>
      <c r="E177">
        <v>5</v>
      </c>
      <c r="F177">
        <v>6</v>
      </c>
      <c r="G177" t="s">
        <v>754</v>
      </c>
      <c r="H177">
        <v>1</v>
      </c>
      <c r="I177">
        <v>0.5</v>
      </c>
      <c r="J177">
        <v>1</v>
      </c>
      <c r="K177">
        <v>0</v>
      </c>
    </row>
    <row r="178" spans="1:11" ht="16.8">
      <c r="B178" t="s">
        <v>295</v>
      </c>
      <c r="C178">
        <v>4</v>
      </c>
      <c r="D178">
        <v>5</v>
      </c>
      <c r="E178">
        <v>5</v>
      </c>
      <c r="F178">
        <v>9</v>
      </c>
      <c r="G178" t="s">
        <v>755</v>
      </c>
      <c r="H178">
        <v>0</v>
      </c>
      <c r="I178">
        <v>0.5</v>
      </c>
      <c r="J178">
        <v>1</v>
      </c>
      <c r="K178">
        <v>1</v>
      </c>
    </row>
    <row r="179" spans="1:11">
      <c r="B179" t="s">
        <v>296</v>
      </c>
      <c r="C179">
        <v>3</v>
      </c>
      <c r="D179">
        <v>4</v>
      </c>
      <c r="E179">
        <v>5</v>
      </c>
      <c r="F179">
        <v>4</v>
      </c>
      <c r="G179" t="s">
        <v>4</v>
      </c>
      <c r="H179">
        <v>0</v>
      </c>
      <c r="I179">
        <v>0</v>
      </c>
      <c r="J179">
        <v>-1</v>
      </c>
      <c r="K179">
        <v>-1</v>
      </c>
    </row>
    <row r="180" spans="1:11">
      <c r="B180" t="s">
        <v>297</v>
      </c>
      <c r="C180">
        <v>4</v>
      </c>
      <c r="D180">
        <v>4</v>
      </c>
      <c r="E180">
        <v>5</v>
      </c>
      <c r="F180">
        <v>3</v>
      </c>
      <c r="G180" t="s">
        <v>756</v>
      </c>
      <c r="H180">
        <v>0</v>
      </c>
      <c r="I180">
        <v>0</v>
      </c>
      <c r="J180">
        <v>-1</v>
      </c>
      <c r="K180">
        <v>1</v>
      </c>
    </row>
    <row r="181" spans="1:11">
      <c r="B181" t="s">
        <v>316</v>
      </c>
      <c r="C181">
        <v>3</v>
      </c>
      <c r="D181">
        <v>4</v>
      </c>
      <c r="E181">
        <v>5</v>
      </c>
      <c r="F181">
        <v>2</v>
      </c>
      <c r="G181" t="s">
        <v>757</v>
      </c>
      <c r="H181">
        <v>0</v>
      </c>
      <c r="I181">
        <v>0</v>
      </c>
      <c r="J181">
        <v>-1</v>
      </c>
      <c r="K181">
        <v>1</v>
      </c>
    </row>
    <row r="182" spans="1:11">
      <c r="B182" t="s">
        <v>317</v>
      </c>
      <c r="C182">
        <v>2</v>
      </c>
      <c r="D182">
        <v>3</v>
      </c>
      <c r="E182">
        <v>1</v>
      </c>
      <c r="F182">
        <v>1</v>
      </c>
      <c r="G182" t="s">
        <v>758</v>
      </c>
      <c r="H182">
        <v>0</v>
      </c>
      <c r="I182">
        <v>0</v>
      </c>
      <c r="J182">
        <v>-1</v>
      </c>
      <c r="K182">
        <v>3</v>
      </c>
    </row>
    <row r="184" spans="1:11">
      <c r="A184" s="11" t="s">
        <v>764</v>
      </c>
      <c r="B184" t="s">
        <v>260</v>
      </c>
      <c r="C184" t="s">
        <v>760</v>
      </c>
      <c r="D184" t="s">
        <v>761</v>
      </c>
      <c r="E184" t="s">
        <v>765</v>
      </c>
      <c r="F184" s="59" t="s">
        <v>762</v>
      </c>
      <c r="G184" t="s">
        <v>766</v>
      </c>
      <c r="H184" t="s">
        <v>767</v>
      </c>
      <c r="I184" t="s">
        <v>768</v>
      </c>
      <c r="J184" t="s">
        <v>769</v>
      </c>
      <c r="K184" t="s">
        <v>770</v>
      </c>
    </row>
    <row r="185" spans="1:11">
      <c r="B185" t="s">
        <v>291</v>
      </c>
      <c r="C185">
        <v>6</v>
      </c>
      <c r="D185">
        <v>5</v>
      </c>
      <c r="E185">
        <v>5</v>
      </c>
      <c r="F185" s="59">
        <v>5</v>
      </c>
      <c r="G185">
        <v>0.25</v>
      </c>
      <c r="H185">
        <v>0</v>
      </c>
      <c r="I185">
        <f>1/16</f>
        <v>6.25E-2</v>
      </c>
      <c r="J185">
        <v>0.25</v>
      </c>
      <c r="K185">
        <v>0.25</v>
      </c>
    </row>
    <row r="186" spans="1:11">
      <c r="B186" t="s">
        <v>292</v>
      </c>
      <c r="C186">
        <v>5</v>
      </c>
      <c r="D186">
        <v>5</v>
      </c>
      <c r="E186">
        <v>5</v>
      </c>
      <c r="F186" s="59">
        <v>8</v>
      </c>
      <c r="G186">
        <v>0.25</v>
      </c>
      <c r="H186">
        <v>0</v>
      </c>
      <c r="I186">
        <f>2/16</f>
        <v>0.125</v>
      </c>
      <c r="J186">
        <v>0</v>
      </c>
      <c r="K186">
        <v>0</v>
      </c>
    </row>
    <row r="187" spans="1:11">
      <c r="B187" t="s">
        <v>293</v>
      </c>
      <c r="C187">
        <v>4</v>
      </c>
      <c r="D187">
        <v>4</v>
      </c>
      <c r="E187">
        <v>5</v>
      </c>
      <c r="F187" s="59">
        <v>7</v>
      </c>
      <c r="G187">
        <v>0</v>
      </c>
      <c r="H187">
        <v>0</v>
      </c>
      <c r="I187">
        <f>1/16</f>
        <v>6.25E-2</v>
      </c>
      <c r="J187">
        <v>0.25</v>
      </c>
      <c r="K187">
        <v>0.25</v>
      </c>
    </row>
    <row r="188" spans="1:11">
      <c r="B188" t="s">
        <v>294</v>
      </c>
      <c r="C188">
        <v>5</v>
      </c>
      <c r="D188">
        <v>5</v>
      </c>
      <c r="E188">
        <v>5</v>
      </c>
      <c r="F188" s="59">
        <v>6</v>
      </c>
      <c r="G188">
        <v>0.25</v>
      </c>
      <c r="H188">
        <v>0</v>
      </c>
      <c r="I188">
        <f>2/16</f>
        <v>0.125</v>
      </c>
      <c r="J188">
        <v>0</v>
      </c>
      <c r="K188">
        <v>0</v>
      </c>
    </row>
    <row r="189" spans="1:11">
      <c r="B189" t="s">
        <v>295</v>
      </c>
      <c r="C189">
        <v>4</v>
      </c>
      <c r="D189">
        <v>5</v>
      </c>
      <c r="E189">
        <v>5</v>
      </c>
      <c r="F189" s="59">
        <v>9</v>
      </c>
      <c r="G189">
        <v>0.25</v>
      </c>
      <c r="H189">
        <v>0.25</v>
      </c>
      <c r="I189">
        <f>4/16</f>
        <v>0.25</v>
      </c>
      <c r="J189">
        <v>0</v>
      </c>
      <c r="K189">
        <v>0</v>
      </c>
    </row>
    <row r="190" spans="1:11">
      <c r="B190" t="s">
        <v>296</v>
      </c>
      <c r="C190">
        <v>3</v>
      </c>
      <c r="D190">
        <v>4</v>
      </c>
      <c r="E190">
        <v>5</v>
      </c>
      <c r="F190" s="59">
        <v>4</v>
      </c>
      <c r="G190">
        <v>0</v>
      </c>
      <c r="H190">
        <v>0.25</v>
      </c>
      <c r="I190">
        <f>2/16</f>
        <v>0.125</v>
      </c>
      <c r="J190">
        <v>0</v>
      </c>
      <c r="K190">
        <v>0</v>
      </c>
    </row>
    <row r="191" spans="1:11">
      <c r="B191" t="s">
        <v>297</v>
      </c>
      <c r="C191">
        <v>4</v>
      </c>
      <c r="D191">
        <v>4</v>
      </c>
      <c r="E191">
        <v>5</v>
      </c>
      <c r="F191" s="59">
        <v>3</v>
      </c>
      <c r="G191">
        <v>0</v>
      </c>
      <c r="H191">
        <v>0</v>
      </c>
      <c r="I191">
        <f>1/16</f>
        <v>6.25E-2</v>
      </c>
      <c r="J191">
        <v>0.25</v>
      </c>
      <c r="K191">
        <v>0.25</v>
      </c>
    </row>
    <row r="192" spans="1:11">
      <c r="B192" t="s">
        <v>316</v>
      </c>
      <c r="C192">
        <v>3</v>
      </c>
      <c r="D192">
        <v>4</v>
      </c>
      <c r="E192">
        <v>5</v>
      </c>
      <c r="F192" s="59">
        <v>2</v>
      </c>
      <c r="G192">
        <v>0</v>
      </c>
      <c r="H192">
        <v>0.25</v>
      </c>
      <c r="I192">
        <f>2/16</f>
        <v>0.125</v>
      </c>
      <c r="J192">
        <v>0</v>
      </c>
      <c r="K192">
        <v>0</v>
      </c>
    </row>
    <row r="193" spans="1:11">
      <c r="B193" t="s">
        <v>317</v>
      </c>
      <c r="C193">
        <v>2</v>
      </c>
      <c r="D193">
        <v>3</v>
      </c>
      <c r="E193">
        <v>1</v>
      </c>
      <c r="F193" s="59">
        <v>1</v>
      </c>
      <c r="G193">
        <v>0</v>
      </c>
      <c r="H193">
        <v>0.25</v>
      </c>
      <c r="I193">
        <f>1/16</f>
        <v>6.25E-2</v>
      </c>
      <c r="J193">
        <v>0.25</v>
      </c>
      <c r="K193">
        <v>0.25</v>
      </c>
    </row>
    <row r="194" spans="1:11">
      <c r="E194" t="s">
        <v>760</v>
      </c>
      <c r="F194" t="s">
        <v>551</v>
      </c>
      <c r="G194">
        <f>SUMPRODUCT(G185:G193,$C$185:$C$193)</f>
        <v>5</v>
      </c>
      <c r="H194">
        <f t="shared" ref="H194:K194" si="22">SUMPRODUCT(H185:H193,$C$185:$C$193)</f>
        <v>3</v>
      </c>
      <c r="I194">
        <f t="shared" si="22"/>
        <v>4</v>
      </c>
      <c r="J194">
        <f t="shared" si="22"/>
        <v>4</v>
      </c>
      <c r="K194">
        <f t="shared" si="22"/>
        <v>4</v>
      </c>
    </row>
    <row r="195" spans="1:11">
      <c r="F195" t="s">
        <v>552</v>
      </c>
      <c r="G195">
        <f>SUMPRODUCT(G185:G193,($C$185:$C$193)^2)-G194^2</f>
        <v>0.5</v>
      </c>
      <c r="H195">
        <f t="shared" ref="H195:K195" si="23">SUMPRODUCT(H185:H193,($C$185:$C$193)^2)-H194^2</f>
        <v>0.5</v>
      </c>
      <c r="I195">
        <f t="shared" si="23"/>
        <v>1</v>
      </c>
      <c r="J195">
        <f t="shared" si="23"/>
        <v>2</v>
      </c>
      <c r="K195">
        <f t="shared" si="23"/>
        <v>2</v>
      </c>
    </row>
    <row r="196" spans="1:11">
      <c r="E196" t="s">
        <v>761</v>
      </c>
      <c r="F196" t="s">
        <v>551</v>
      </c>
      <c r="G196">
        <f>SUMPRODUCT(G185:G193,$D$185:$D$193)</f>
        <v>5</v>
      </c>
      <c r="H196">
        <f t="shared" ref="H196:K196" si="24">SUMPRODUCT(H185:H193,$D$185:$D$193)</f>
        <v>4</v>
      </c>
      <c r="I196">
        <f t="shared" si="24"/>
        <v>4.5</v>
      </c>
      <c r="J196">
        <f t="shared" si="24"/>
        <v>4</v>
      </c>
      <c r="K196">
        <f t="shared" si="24"/>
        <v>4</v>
      </c>
    </row>
    <row r="197" spans="1:11">
      <c r="F197" t="s">
        <v>552</v>
      </c>
      <c r="G197">
        <f>SUMPRODUCT(G185:G193,($D$185:$D$193)^2)-G196^2</f>
        <v>0</v>
      </c>
      <c r="H197">
        <f t="shared" ref="H197:K197" si="25">SUMPRODUCT(H185:H193,($D$185:$D$193)^2)-H196^2</f>
        <v>0.5</v>
      </c>
      <c r="I197">
        <f t="shared" si="25"/>
        <v>0.375</v>
      </c>
      <c r="J197">
        <f t="shared" si="25"/>
        <v>0.5</v>
      </c>
      <c r="K197">
        <f t="shared" si="25"/>
        <v>0.5</v>
      </c>
    </row>
    <row r="198" spans="1:11">
      <c r="E198" t="s">
        <v>765</v>
      </c>
      <c r="F198" t="s">
        <v>551</v>
      </c>
      <c r="G198">
        <f>SUMPRODUCT(G185:G193,$E$185:$E$193)</f>
        <v>5</v>
      </c>
      <c r="H198">
        <f t="shared" ref="H198:K198" si="26">SUMPRODUCT(H185:H193,$E$185:$E$193)</f>
        <v>4</v>
      </c>
      <c r="I198">
        <f t="shared" si="26"/>
        <v>4.75</v>
      </c>
      <c r="J198">
        <f t="shared" si="26"/>
        <v>4</v>
      </c>
      <c r="K198">
        <f t="shared" si="26"/>
        <v>4</v>
      </c>
    </row>
    <row r="199" spans="1:11">
      <c r="F199" t="s">
        <v>552</v>
      </c>
      <c r="G199">
        <f>SUMPRODUCT(G185:G193,($E$185:$E$193)^2)-G198^2</f>
        <v>0</v>
      </c>
      <c r="H199">
        <f t="shared" ref="H199:K199" si="27">SUMPRODUCT(H185:H193,($E$185:$E$193)^2)-H198^2</f>
        <v>3</v>
      </c>
      <c r="I199">
        <f t="shared" si="27"/>
        <v>0.9375</v>
      </c>
      <c r="J199">
        <f t="shared" si="27"/>
        <v>3</v>
      </c>
      <c r="K199">
        <f t="shared" si="27"/>
        <v>3</v>
      </c>
    </row>
    <row r="200" spans="1:11">
      <c r="E200" t="s">
        <v>762</v>
      </c>
      <c r="F200" t="s">
        <v>551</v>
      </c>
      <c r="G200">
        <f>SUMPRODUCT(G185:G193,$F$185:$F$193)</f>
        <v>7</v>
      </c>
      <c r="H200">
        <f t="shared" ref="H200:K200" si="28">SUMPRODUCT(H185:H193,$F$185:$F$193)</f>
        <v>4</v>
      </c>
      <c r="I200">
        <f t="shared" si="28"/>
        <v>5.75</v>
      </c>
      <c r="J200">
        <f t="shared" si="28"/>
        <v>4</v>
      </c>
      <c r="K200">
        <f t="shared" si="28"/>
        <v>4</v>
      </c>
    </row>
    <row r="201" spans="1:11">
      <c r="F201" t="s">
        <v>552</v>
      </c>
      <c r="G201">
        <f>SUMPRODUCT(G185:G193,($F$185:$F$193)^2)-G200^2</f>
        <v>2.5</v>
      </c>
      <c r="H201">
        <f t="shared" ref="H201:K201" si="29">SUMPRODUCT(H185:H193,($F$185:$F$193)^2)-H200^2</f>
        <v>9.5</v>
      </c>
      <c r="I201">
        <f t="shared" si="29"/>
        <v>7.4375</v>
      </c>
      <c r="J201">
        <f t="shared" si="29"/>
        <v>5</v>
      </c>
      <c r="K201">
        <f t="shared" si="29"/>
        <v>5</v>
      </c>
    </row>
    <row r="203" spans="1:11">
      <c r="A203" s="11" t="s">
        <v>771</v>
      </c>
      <c r="B203" t="s">
        <v>201</v>
      </c>
      <c r="C203" t="s">
        <v>162</v>
      </c>
      <c r="D203" t="s">
        <v>198</v>
      </c>
      <c r="E203" t="s">
        <v>199</v>
      </c>
      <c r="F203" t="s">
        <v>200</v>
      </c>
    </row>
    <row r="204" spans="1:11">
      <c r="A204" t="s">
        <v>772</v>
      </c>
      <c r="B204">
        <v>0.1</v>
      </c>
      <c r="C204">
        <f>(1-B204)/2</f>
        <v>0.45</v>
      </c>
      <c r="D204">
        <f>B204/2</f>
        <v>0.05</v>
      </c>
      <c r="E204">
        <f>B204/2</f>
        <v>0.05</v>
      </c>
      <c r="F204">
        <f>(1-B204)/2</f>
        <v>0.45</v>
      </c>
    </row>
    <row r="205" spans="1:11">
      <c r="A205" t="s">
        <v>773</v>
      </c>
      <c r="B205">
        <f>2*B204/(1+2*B204)</f>
        <v>0.16666666666666669</v>
      </c>
      <c r="C205">
        <f>(1-B205)/2</f>
        <v>0.41666666666666663</v>
      </c>
      <c r="D205">
        <f>B205/2</f>
        <v>8.3333333333333343E-2</v>
      </c>
      <c r="E205">
        <f>B205/2</f>
        <v>8.3333333333333343E-2</v>
      </c>
      <c r="F205">
        <f>(1-B205)/2</f>
        <v>0.41666666666666663</v>
      </c>
    </row>
    <row r="206" spans="1:11">
      <c r="B206" t="s">
        <v>260</v>
      </c>
      <c r="C206" t="s">
        <v>760</v>
      </c>
      <c r="D206" t="s">
        <v>761</v>
      </c>
      <c r="E206" t="s">
        <v>765</v>
      </c>
      <c r="F206" s="11" t="s">
        <v>762</v>
      </c>
      <c r="G206" t="s">
        <v>766</v>
      </c>
      <c r="H206" t="s">
        <v>767</v>
      </c>
      <c r="I206" t="s">
        <v>768</v>
      </c>
      <c r="J206" t="s">
        <v>769</v>
      </c>
      <c r="K206" t="s">
        <v>770</v>
      </c>
    </row>
    <row r="207" spans="1:11">
      <c r="B207" t="s">
        <v>291</v>
      </c>
      <c r="C207">
        <v>6</v>
      </c>
      <c r="D207">
        <v>5</v>
      </c>
      <c r="E207">
        <v>5</v>
      </c>
      <c r="F207" s="11">
        <v>5</v>
      </c>
      <c r="G207">
        <f>C204</f>
        <v>0.45</v>
      </c>
      <c r="H207">
        <v>0</v>
      </c>
      <c r="I207">
        <f>C204^2</f>
        <v>0.20250000000000001</v>
      </c>
      <c r="J207">
        <f>C204</f>
        <v>0.45</v>
      </c>
      <c r="K207">
        <f>C205</f>
        <v>0.41666666666666663</v>
      </c>
    </row>
    <row r="208" spans="1:11">
      <c r="B208" t="s">
        <v>292</v>
      </c>
      <c r="C208">
        <v>5</v>
      </c>
      <c r="D208">
        <v>5</v>
      </c>
      <c r="E208">
        <v>5</v>
      </c>
      <c r="F208" s="11">
        <v>8</v>
      </c>
      <c r="G208">
        <f>D204</f>
        <v>0.05</v>
      </c>
      <c r="H208">
        <v>0</v>
      </c>
      <c r="I208">
        <f>2*C204*D204</f>
        <v>4.5000000000000005E-2</v>
      </c>
      <c r="J208">
        <v>0</v>
      </c>
      <c r="K208">
        <v>0</v>
      </c>
    </row>
    <row r="209" spans="2:11">
      <c r="B209" t="s">
        <v>293</v>
      </c>
      <c r="C209">
        <v>4</v>
      </c>
      <c r="D209">
        <v>4</v>
      </c>
      <c r="E209">
        <v>5</v>
      </c>
      <c r="F209" s="11">
        <v>7</v>
      </c>
      <c r="G209">
        <v>0</v>
      </c>
      <c r="H209">
        <v>0</v>
      </c>
      <c r="I209">
        <f>D204^2</f>
        <v>2.5000000000000005E-3</v>
      </c>
      <c r="J209">
        <f>D204</f>
        <v>0.05</v>
      </c>
      <c r="K209">
        <f>D205</f>
        <v>8.3333333333333343E-2</v>
      </c>
    </row>
    <row r="210" spans="2:11">
      <c r="B210" t="s">
        <v>294</v>
      </c>
      <c r="C210">
        <v>5</v>
      </c>
      <c r="D210">
        <v>5</v>
      </c>
      <c r="E210">
        <v>5</v>
      </c>
      <c r="F210" s="11">
        <v>6</v>
      </c>
      <c r="G210">
        <f>D204</f>
        <v>0.05</v>
      </c>
      <c r="H210">
        <v>0</v>
      </c>
      <c r="I210">
        <f>2*C204*E204</f>
        <v>4.5000000000000005E-2</v>
      </c>
      <c r="J210">
        <v>0</v>
      </c>
      <c r="K210">
        <v>0</v>
      </c>
    </row>
    <row r="211" spans="2:11">
      <c r="B211" t="s">
        <v>295</v>
      </c>
      <c r="C211">
        <v>4</v>
      </c>
      <c r="D211">
        <v>5</v>
      </c>
      <c r="E211">
        <v>5</v>
      </c>
      <c r="F211" s="11">
        <v>9</v>
      </c>
      <c r="G211">
        <f>F204</f>
        <v>0.45</v>
      </c>
      <c r="H211">
        <f>C204</f>
        <v>0.45</v>
      </c>
      <c r="I211">
        <f>2*C204*F204+2*D204*E204</f>
        <v>0.41000000000000003</v>
      </c>
      <c r="J211">
        <v>0</v>
      </c>
      <c r="K211">
        <v>0</v>
      </c>
    </row>
    <row r="212" spans="2:11">
      <c r="B212" t="s">
        <v>296</v>
      </c>
      <c r="C212">
        <v>3</v>
      </c>
      <c r="D212">
        <v>4</v>
      </c>
      <c r="E212">
        <v>5</v>
      </c>
      <c r="F212" s="11">
        <v>4</v>
      </c>
      <c r="G212">
        <v>0</v>
      </c>
      <c r="H212">
        <f>D204</f>
        <v>0.05</v>
      </c>
      <c r="I212">
        <f>2*D204*F204</f>
        <v>4.5000000000000005E-2</v>
      </c>
      <c r="J212">
        <v>0</v>
      </c>
      <c r="K212">
        <v>0</v>
      </c>
    </row>
    <row r="213" spans="2:11">
      <c r="B213" t="s">
        <v>297</v>
      </c>
      <c r="C213">
        <v>4</v>
      </c>
      <c r="D213">
        <v>4</v>
      </c>
      <c r="E213">
        <v>5</v>
      </c>
      <c r="F213" s="11">
        <v>3</v>
      </c>
      <c r="G213">
        <v>0</v>
      </c>
      <c r="H213">
        <v>0</v>
      </c>
      <c r="I213">
        <f>E204^2</f>
        <v>2.5000000000000005E-3</v>
      </c>
      <c r="J213">
        <f>E204</f>
        <v>0.05</v>
      </c>
      <c r="K213">
        <f>E205</f>
        <v>8.3333333333333343E-2</v>
      </c>
    </row>
    <row r="214" spans="2:11">
      <c r="B214" t="s">
        <v>316</v>
      </c>
      <c r="C214">
        <v>3</v>
      </c>
      <c r="D214">
        <v>4</v>
      </c>
      <c r="E214">
        <v>5</v>
      </c>
      <c r="F214" s="11">
        <v>2</v>
      </c>
      <c r="G214">
        <v>0</v>
      </c>
      <c r="H214">
        <f>E204</f>
        <v>0.05</v>
      </c>
      <c r="I214">
        <f>2*E204*F204</f>
        <v>4.5000000000000005E-2</v>
      </c>
      <c r="J214">
        <v>0</v>
      </c>
      <c r="K214">
        <v>0</v>
      </c>
    </row>
    <row r="215" spans="2:11">
      <c r="B215" t="s">
        <v>317</v>
      </c>
      <c r="C215">
        <v>2</v>
      </c>
      <c r="D215">
        <v>3</v>
      </c>
      <c r="E215">
        <v>1</v>
      </c>
      <c r="F215" s="11">
        <v>1</v>
      </c>
      <c r="G215">
        <v>0</v>
      </c>
      <c r="H215">
        <f>F204</f>
        <v>0.45</v>
      </c>
      <c r="I215">
        <f>F204^2</f>
        <v>0.20250000000000001</v>
      </c>
      <c r="J215">
        <f>F204</f>
        <v>0.45</v>
      </c>
      <c r="K215">
        <f>F205</f>
        <v>0.41666666666666663</v>
      </c>
    </row>
    <row r="216" spans="2:11">
      <c r="E216" t="s">
        <v>760</v>
      </c>
      <c r="F216" t="s">
        <v>551</v>
      </c>
      <c r="G216">
        <f>SUMPRODUCT(G207:G215,$C$185:$C$193)</f>
        <v>5</v>
      </c>
      <c r="H216">
        <f t="shared" ref="H216:K216" si="30">SUMPRODUCT(H207:H215,$C$185:$C$193)</f>
        <v>3</v>
      </c>
      <c r="I216">
        <f t="shared" si="30"/>
        <v>4</v>
      </c>
      <c r="J216">
        <f t="shared" si="30"/>
        <v>4.0000000000000009</v>
      </c>
      <c r="K216">
        <f t="shared" si="30"/>
        <v>4</v>
      </c>
    </row>
    <row r="217" spans="2:11">
      <c r="F217" t="s">
        <v>552</v>
      </c>
      <c r="G217">
        <f>SUMPRODUCT(G207:G215,($C$185:$C$193)^2)-G216^2</f>
        <v>0.89999999999999858</v>
      </c>
      <c r="H217">
        <f t="shared" ref="H217:K217" si="31">SUMPRODUCT(H207:H215,($C$185:$C$193)^2)-H216^2</f>
        <v>0.90000000000000036</v>
      </c>
      <c r="I217">
        <f t="shared" si="31"/>
        <v>1.8000000000000007</v>
      </c>
      <c r="J217">
        <f t="shared" si="31"/>
        <v>3.5999999999999943</v>
      </c>
      <c r="K217">
        <f t="shared" si="31"/>
        <v>3.3333333333333321</v>
      </c>
    </row>
    <row r="218" spans="2:11">
      <c r="E218" t="s">
        <v>761</v>
      </c>
      <c r="F218" t="s">
        <v>551</v>
      </c>
      <c r="G218">
        <f>SUMPRODUCT(G207:G215,$D$185:$D$193)</f>
        <v>5</v>
      </c>
      <c r="H218">
        <f t="shared" ref="H218:K218" si="32">SUMPRODUCT(H207:H215,$D$185:$D$193)</f>
        <v>4</v>
      </c>
      <c r="I218">
        <f t="shared" si="32"/>
        <v>4.5000000000000009</v>
      </c>
      <c r="J218">
        <f t="shared" si="32"/>
        <v>4</v>
      </c>
      <c r="K218">
        <f t="shared" si="32"/>
        <v>4</v>
      </c>
    </row>
    <row r="219" spans="2:11">
      <c r="F219" t="s">
        <v>552</v>
      </c>
      <c r="G219">
        <f>SUMPRODUCT(G207:G215,($D$185:$D$193)^2)-G218^2</f>
        <v>0</v>
      </c>
      <c r="H219">
        <f t="shared" ref="H219:K219" si="33">SUMPRODUCT(H207:H215,($D$185:$D$193)^2)-H218^2</f>
        <v>0.90000000000000213</v>
      </c>
      <c r="I219">
        <f t="shared" si="33"/>
        <v>0.65499999999999048</v>
      </c>
      <c r="J219">
        <f t="shared" si="33"/>
        <v>0.90000000000000213</v>
      </c>
      <c r="K219">
        <f t="shared" si="33"/>
        <v>0.83333333333333215</v>
      </c>
    </row>
    <row r="220" spans="2:11">
      <c r="E220" t="s">
        <v>765</v>
      </c>
      <c r="F220" t="s">
        <v>551</v>
      </c>
      <c r="G220">
        <f>SUMPRODUCT(G207:G215,$E$185:$E$193)</f>
        <v>5</v>
      </c>
      <c r="H220">
        <f t="shared" ref="H220:K220" si="34">SUMPRODUCT(H207:H215,$E$185:$E$193)</f>
        <v>3.2</v>
      </c>
      <c r="I220">
        <f t="shared" si="34"/>
        <v>4.1900000000000004</v>
      </c>
      <c r="J220">
        <f t="shared" si="34"/>
        <v>3.2</v>
      </c>
      <c r="K220">
        <f t="shared" si="34"/>
        <v>3.3333333333333335</v>
      </c>
    </row>
    <row r="221" spans="2:11">
      <c r="F221" t="s">
        <v>552</v>
      </c>
      <c r="G221">
        <f>SUMPRODUCT(G207:G215,($E$185:$E$193)^2)-G220^2</f>
        <v>0</v>
      </c>
      <c r="H221">
        <f t="shared" ref="H221:K221" si="35">SUMPRODUCT(H207:H215,($E$185:$E$193)^2)-H220^2</f>
        <v>3.9599999999999973</v>
      </c>
      <c r="I221">
        <f t="shared" si="35"/>
        <v>2.5838999999999963</v>
      </c>
      <c r="J221">
        <f t="shared" si="35"/>
        <v>3.9599999999999973</v>
      </c>
      <c r="K221">
        <f t="shared" si="35"/>
        <v>3.8888888888888875</v>
      </c>
    </row>
    <row r="222" spans="2:11">
      <c r="E222" t="s">
        <v>762</v>
      </c>
      <c r="F222" t="s">
        <v>551</v>
      </c>
      <c r="G222">
        <f>SUMPRODUCT(G207:G215,$F$185:$F$193)</f>
        <v>7</v>
      </c>
      <c r="H222">
        <f t="shared" ref="H222:K222" si="36">SUMPRODUCT(H207:H215,$F$185:$F$193)</f>
        <v>4.8</v>
      </c>
      <c r="I222">
        <f t="shared" si="36"/>
        <v>5.83</v>
      </c>
      <c r="J222">
        <f t="shared" si="36"/>
        <v>3.2</v>
      </c>
      <c r="K222">
        <f t="shared" si="36"/>
        <v>3.333333333333333</v>
      </c>
    </row>
    <row r="223" spans="2:11">
      <c r="F223" t="s">
        <v>552</v>
      </c>
      <c r="G223">
        <f>SUMPRODUCT(G207:G215,($F$185:$F$193)^2)-G222^2</f>
        <v>3.7000000000000028</v>
      </c>
      <c r="H223">
        <f t="shared" ref="H223:K223" si="37">SUMPRODUCT(H207:H215,($F$185:$F$193)^2)-H222^2</f>
        <v>14.860000000000007</v>
      </c>
      <c r="I223">
        <f t="shared" si="37"/>
        <v>10.031100000000002</v>
      </c>
      <c r="J223">
        <f t="shared" si="37"/>
        <v>4.3599999999999959</v>
      </c>
      <c r="K223">
        <f t="shared" si="37"/>
        <v>4.5555555555555571</v>
      </c>
    </row>
    <row r="225" spans="1:10">
      <c r="A225" s="11" t="s">
        <v>774</v>
      </c>
      <c r="B225" t="s">
        <v>260</v>
      </c>
      <c r="C225" t="s">
        <v>775</v>
      </c>
      <c r="D225" t="s">
        <v>776</v>
      </c>
      <c r="E225" t="s">
        <v>777</v>
      </c>
      <c r="F225" t="s">
        <v>778</v>
      </c>
      <c r="G225" t="s">
        <v>779</v>
      </c>
      <c r="H225" t="s">
        <v>780</v>
      </c>
      <c r="I225" t="s">
        <v>781</v>
      </c>
    </row>
    <row r="226" spans="1:10">
      <c r="B226" s="35" t="s">
        <v>291</v>
      </c>
      <c r="C226">
        <v>27.2</v>
      </c>
      <c r="D226">
        <v>23.1</v>
      </c>
      <c r="E226">
        <v>17.399999999999999</v>
      </c>
      <c r="F226">
        <v>19.100000000000001</v>
      </c>
      <c r="G226">
        <v>25.9</v>
      </c>
      <c r="H226">
        <v>21.1</v>
      </c>
      <c r="I226">
        <f>AVERAGE(C226:H226)</f>
        <v>22.299999999999997</v>
      </c>
    </row>
    <row r="227" spans="1:10">
      <c r="B227" s="35" t="s">
        <v>293</v>
      </c>
      <c r="C227">
        <v>29.2</v>
      </c>
      <c r="D227">
        <v>27.3</v>
      </c>
      <c r="E227">
        <v>25.1</v>
      </c>
      <c r="F227">
        <v>31.1</v>
      </c>
      <c r="G227">
        <v>26.9</v>
      </c>
      <c r="H227">
        <v>33.299999999999997</v>
      </c>
      <c r="I227">
        <f t="shared" ref="I227:I229" si="38">AVERAGE(C227:H227)</f>
        <v>28.816666666666663</v>
      </c>
    </row>
    <row r="228" spans="1:10">
      <c r="B228" s="35" t="s">
        <v>297</v>
      </c>
      <c r="C228">
        <v>21.5</v>
      </c>
      <c r="D228">
        <v>26.2</v>
      </c>
      <c r="E228">
        <v>31.9</v>
      </c>
      <c r="F228">
        <v>23.2</v>
      </c>
      <c r="G228">
        <v>25.7</v>
      </c>
      <c r="H228">
        <v>28.1</v>
      </c>
      <c r="I228">
        <f t="shared" si="38"/>
        <v>26.099999999999998</v>
      </c>
    </row>
    <row r="229" spans="1:10">
      <c r="B229" s="35" t="s">
        <v>317</v>
      </c>
      <c r="C229">
        <v>10.8</v>
      </c>
      <c r="D229">
        <v>7.9</v>
      </c>
      <c r="E229">
        <v>8.1999999999999993</v>
      </c>
      <c r="F229">
        <v>6.3</v>
      </c>
      <c r="G229">
        <v>10.7</v>
      </c>
      <c r="H229">
        <v>11.6</v>
      </c>
      <c r="I229">
        <f t="shared" si="38"/>
        <v>9.2500000000000018</v>
      </c>
    </row>
    <row r="230" spans="1:10">
      <c r="B230" s="35"/>
    </row>
    <row r="231" spans="1:10">
      <c r="B231" s="36" t="s">
        <v>782</v>
      </c>
      <c r="C231" t="s">
        <v>521</v>
      </c>
      <c r="D231" t="s">
        <v>783</v>
      </c>
      <c r="E231" t="s">
        <v>784</v>
      </c>
      <c r="F231" t="s">
        <v>785</v>
      </c>
      <c r="H231" t="s">
        <v>786</v>
      </c>
      <c r="I231" t="s">
        <v>521</v>
      </c>
      <c r="J231" t="s">
        <v>783</v>
      </c>
    </row>
    <row r="232" spans="1:10">
      <c r="B232" s="36" t="s">
        <v>2</v>
      </c>
      <c r="C232">
        <f>I226</f>
        <v>22.299999999999997</v>
      </c>
      <c r="D232" s="39">
        <f>I227</f>
        <v>28.816666666666663</v>
      </c>
      <c r="E232" s="39">
        <f>AVERAGE(C232:D232)</f>
        <v>25.55833333333333</v>
      </c>
      <c r="F232" s="39">
        <f>E232-E234</f>
        <v>3.9416666666666629</v>
      </c>
      <c r="H232" t="s">
        <v>787</v>
      </c>
      <c r="I232" s="39">
        <f>C232-$E$234-$F232-C$235</f>
        <v>-5.8416666666666615</v>
      </c>
      <c r="J232" s="39">
        <f>D232-$E$234-$F232-D$235</f>
        <v>5.8416666666666686</v>
      </c>
    </row>
    <row r="233" spans="1:10">
      <c r="B233" s="36" t="s">
        <v>788</v>
      </c>
      <c r="C233">
        <f>I228</f>
        <v>26.099999999999998</v>
      </c>
      <c r="D233">
        <f>I229</f>
        <v>9.2500000000000018</v>
      </c>
      <c r="E233" s="39">
        <f>AVERAGE(C233:D233)</f>
        <v>17.675000000000001</v>
      </c>
      <c r="F233" s="39">
        <f>E233-E234</f>
        <v>-3.9416666666666664</v>
      </c>
      <c r="H233" t="s">
        <v>789</v>
      </c>
      <c r="I233" s="39">
        <f>C233-$E$234-$F233-C$235</f>
        <v>5.8416666666666686</v>
      </c>
      <c r="J233" s="39">
        <f>D233-$E$234-$F233-D$235</f>
        <v>-5.8416666666666632</v>
      </c>
    </row>
    <row r="234" spans="1:10">
      <c r="B234" s="36" t="s">
        <v>790</v>
      </c>
      <c r="C234">
        <f>AVERAGE(C232:C233)</f>
        <v>24.199999999999996</v>
      </c>
      <c r="D234" s="39">
        <f t="shared" ref="D234:E234" si="39">AVERAGE(D232:D233)</f>
        <v>19.033333333333331</v>
      </c>
      <c r="E234" s="39">
        <f t="shared" si="39"/>
        <v>21.616666666666667</v>
      </c>
    </row>
    <row r="235" spans="1:10">
      <c r="B235" s="36" t="s">
        <v>791</v>
      </c>
      <c r="C235" s="39">
        <f>C234-E234</f>
        <v>2.5833333333333286</v>
      </c>
      <c r="D235" s="39">
        <f>D234-E234</f>
        <v>-2.5833333333333357</v>
      </c>
    </row>
    <row r="237" spans="1:10">
      <c r="B237" s="35" t="s">
        <v>792</v>
      </c>
      <c r="C237" s="35" t="s">
        <v>793</v>
      </c>
      <c r="D237" s="35" t="s">
        <v>794</v>
      </c>
      <c r="E237" s="35" t="s">
        <v>795</v>
      </c>
      <c r="F237" s="35" t="s">
        <v>796</v>
      </c>
      <c r="G237" t="s">
        <v>797</v>
      </c>
      <c r="H237" s="35" t="s">
        <v>798</v>
      </c>
    </row>
    <row r="238" spans="1:10">
      <c r="B238" s="35" t="s">
        <v>799</v>
      </c>
      <c r="C238" s="35">
        <v>3</v>
      </c>
      <c r="D238" s="37">
        <f>SUMSQ(C232:D233)*6-24*E234^2</f>
        <v>1352.0499999999975</v>
      </c>
      <c r="E238" s="37">
        <f>D238/C238</f>
        <v>450.68333333333248</v>
      </c>
      <c r="F238" s="37">
        <f>E238/E$242</f>
        <v>43.421918908068463</v>
      </c>
      <c r="G238">
        <f>_xlfn.F.DIST.RT(F238,C238,C$242)</f>
        <v>6.0520730650222827E-9</v>
      </c>
      <c r="H238" s="37">
        <f>(E238-E242)/6</f>
        <v>73.384027777777618</v>
      </c>
    </row>
    <row r="239" spans="1:10">
      <c r="B239" s="35" t="s">
        <v>800</v>
      </c>
      <c r="C239" s="35">
        <v>1</v>
      </c>
      <c r="D239" s="37">
        <f>SUMSQ(F232:F233)*12</f>
        <v>372.88166666666626</v>
      </c>
      <c r="E239" s="37">
        <f t="shared" ref="E239:E242" si="40">D239/C239</f>
        <v>372.88166666666626</v>
      </c>
      <c r="F239" s="37">
        <f t="shared" ref="F239:F241" si="41">E239/E$242</f>
        <v>35.925973504616167</v>
      </c>
      <c r="G239">
        <f t="shared" ref="G239:G241" si="42">_xlfn.F.DIST.RT(F239,C239,C$242)</f>
        <v>7.3425104117579134E-6</v>
      </c>
      <c r="H239" s="37">
        <f>(E239-E242)/12</f>
        <v>30.208541666666623</v>
      </c>
    </row>
    <row r="240" spans="1:10">
      <c r="B240" s="35" t="s">
        <v>801</v>
      </c>
      <c r="C240" s="35">
        <v>1</v>
      </c>
      <c r="D240" s="37">
        <f>SUMSQ(C235:D235)*12</f>
        <v>160.16666666666652</v>
      </c>
      <c r="E240" s="37">
        <f t="shared" si="40"/>
        <v>160.16666666666652</v>
      </c>
      <c r="F240" s="37">
        <f t="shared" si="41"/>
        <v>15.431553592934371</v>
      </c>
      <c r="G240">
        <f t="shared" si="42"/>
        <v>8.3189511369126542E-4</v>
      </c>
      <c r="H240" s="37">
        <f>(E240-E242)/12</f>
        <v>12.482291666666645</v>
      </c>
    </row>
    <row r="241" spans="1:9">
      <c r="B241" s="35" t="s">
        <v>802</v>
      </c>
      <c r="C241" s="35">
        <v>1</v>
      </c>
      <c r="D241" s="37">
        <f>SUMSQ(I232:J233)*6</f>
        <v>819.00166666666632</v>
      </c>
      <c r="E241" s="37">
        <f t="shared" si="40"/>
        <v>819.00166666666632</v>
      </c>
      <c r="F241" s="37">
        <f t="shared" si="41"/>
        <v>78.908229626655014</v>
      </c>
      <c r="G241">
        <f t="shared" si="42"/>
        <v>2.229204276894526E-8</v>
      </c>
      <c r="H241" s="37">
        <f>(E241-E242)/6</f>
        <v>134.77041666666659</v>
      </c>
    </row>
    <row r="242" spans="1:9">
      <c r="B242" s="35" t="s">
        <v>803</v>
      </c>
      <c r="C242" s="35">
        <f>C243-C238</f>
        <v>20</v>
      </c>
      <c r="D242" s="37">
        <f>D243-D238</f>
        <v>207.58333333333576</v>
      </c>
      <c r="E242" s="37">
        <f t="shared" si="40"/>
        <v>10.379166666666787</v>
      </c>
      <c r="F242" s="37"/>
      <c r="H242" s="37">
        <f>E242</f>
        <v>10.379166666666787</v>
      </c>
    </row>
    <row r="243" spans="1:9">
      <c r="B243" s="35" t="s">
        <v>804</v>
      </c>
      <c r="C243" s="35">
        <v>23</v>
      </c>
      <c r="D243" s="37">
        <f>SUMSQ(C226:H229)-24*E234^2</f>
        <v>1559.6333333333332</v>
      </c>
      <c r="E243" s="37"/>
      <c r="F243" s="37"/>
      <c r="H243" s="35"/>
    </row>
    <row r="245" spans="1:9">
      <c r="A245" s="11" t="s">
        <v>805</v>
      </c>
      <c r="B245" t="s">
        <v>260</v>
      </c>
      <c r="C245" t="s">
        <v>806</v>
      </c>
      <c r="D245" t="s">
        <v>807</v>
      </c>
      <c r="E245" t="s">
        <v>808</v>
      </c>
      <c r="F245" t="s">
        <v>809</v>
      </c>
      <c r="G245" t="s">
        <v>781</v>
      </c>
      <c r="H245" t="s">
        <v>763</v>
      </c>
    </row>
    <row r="246" spans="1:9">
      <c r="B246" s="35" t="s">
        <v>291</v>
      </c>
      <c r="C246">
        <v>55</v>
      </c>
      <c r="D246">
        <v>51</v>
      </c>
      <c r="E246">
        <v>52</v>
      </c>
      <c r="F246">
        <v>54</v>
      </c>
      <c r="G246">
        <f>AVERAGE(C246:F246)</f>
        <v>53</v>
      </c>
      <c r="H246" t="s">
        <v>237</v>
      </c>
      <c r="I246">
        <f t="array" ref="I246:I254">MMULT(M163:U171,G246:G254)</f>
        <v>30.375</v>
      </c>
    </row>
    <row r="247" spans="1:9" ht="16.8">
      <c r="B247" s="35" t="s">
        <v>292</v>
      </c>
      <c r="C247">
        <v>76</v>
      </c>
      <c r="D247">
        <v>72</v>
      </c>
      <c r="E247">
        <v>72</v>
      </c>
      <c r="F247">
        <v>74</v>
      </c>
      <c r="G247">
        <f t="shared" ref="G247:G254" si="43">AVERAGE(C247:F247)</f>
        <v>73.5</v>
      </c>
      <c r="H247" t="s">
        <v>752</v>
      </c>
      <c r="I247">
        <v>0.375</v>
      </c>
    </row>
    <row r="248" spans="1:9" ht="16.8">
      <c r="B248" s="35" t="s">
        <v>293</v>
      </c>
      <c r="C248">
        <v>11</v>
      </c>
      <c r="D248">
        <v>7</v>
      </c>
      <c r="E248">
        <v>7</v>
      </c>
      <c r="F248">
        <v>9</v>
      </c>
      <c r="G248">
        <f t="shared" si="43"/>
        <v>8.5</v>
      </c>
      <c r="H248" t="s">
        <v>753</v>
      </c>
      <c r="I248">
        <v>27.875</v>
      </c>
    </row>
    <row r="249" spans="1:9" ht="16.8">
      <c r="B249" s="35" t="s">
        <v>294</v>
      </c>
      <c r="C249">
        <v>64</v>
      </c>
      <c r="D249">
        <v>60</v>
      </c>
      <c r="E249">
        <v>60</v>
      </c>
      <c r="F249">
        <v>62</v>
      </c>
      <c r="G249">
        <f t="shared" si="43"/>
        <v>61.5</v>
      </c>
      <c r="H249" t="s">
        <v>754</v>
      </c>
      <c r="I249">
        <v>16.625</v>
      </c>
    </row>
    <row r="250" spans="1:9" ht="16.8">
      <c r="B250" s="36" t="s">
        <v>295</v>
      </c>
      <c r="C250">
        <v>39</v>
      </c>
      <c r="D250">
        <v>35</v>
      </c>
      <c r="E250">
        <v>35</v>
      </c>
      <c r="F250">
        <v>38</v>
      </c>
      <c r="G250">
        <f t="shared" si="43"/>
        <v>36.75</v>
      </c>
      <c r="H250" t="s">
        <v>755</v>
      </c>
      <c r="I250">
        <v>53.375</v>
      </c>
    </row>
    <row r="251" spans="1:9">
      <c r="B251" s="36" t="s">
        <v>296</v>
      </c>
      <c r="C251">
        <v>57</v>
      </c>
      <c r="D251">
        <v>53</v>
      </c>
      <c r="E251">
        <v>54</v>
      </c>
      <c r="F251">
        <v>56</v>
      </c>
      <c r="G251">
        <f t="shared" si="43"/>
        <v>55</v>
      </c>
      <c r="H251" t="s">
        <v>4</v>
      </c>
      <c r="I251">
        <v>5.625</v>
      </c>
    </row>
    <row r="252" spans="1:9">
      <c r="B252" s="36" t="s">
        <v>297</v>
      </c>
      <c r="C252">
        <v>43</v>
      </c>
      <c r="D252">
        <v>39</v>
      </c>
      <c r="E252">
        <v>40</v>
      </c>
      <c r="F252">
        <v>42</v>
      </c>
      <c r="G252">
        <f t="shared" si="43"/>
        <v>41</v>
      </c>
      <c r="H252" t="s">
        <v>756</v>
      </c>
      <c r="I252">
        <v>-10.625</v>
      </c>
    </row>
    <row r="253" spans="1:9">
      <c r="B253" s="36" t="s">
        <v>316</v>
      </c>
      <c r="C253">
        <v>96</v>
      </c>
      <c r="D253">
        <v>92</v>
      </c>
      <c r="E253">
        <v>93</v>
      </c>
      <c r="F253">
        <v>95</v>
      </c>
      <c r="G253">
        <f t="shared" si="43"/>
        <v>94</v>
      </c>
      <c r="H253" t="s">
        <v>757</v>
      </c>
      <c r="I253">
        <v>-13.375</v>
      </c>
    </row>
    <row r="254" spans="1:9">
      <c r="B254" s="36" t="s">
        <v>317</v>
      </c>
      <c r="C254">
        <v>21</v>
      </c>
      <c r="D254">
        <v>17</v>
      </c>
      <c r="E254">
        <v>18</v>
      </c>
      <c r="F254">
        <v>20</v>
      </c>
      <c r="G254">
        <f t="shared" si="43"/>
        <v>19</v>
      </c>
      <c r="H254" t="s">
        <v>758</v>
      </c>
      <c r="I254">
        <v>-74.875</v>
      </c>
    </row>
    <row r="255" spans="1:9">
      <c r="G255">
        <f>AVERAGE(C246:F254)</f>
        <v>49.138888888888886</v>
      </c>
    </row>
    <row r="257" spans="2:12">
      <c r="B257" s="36" t="s">
        <v>782</v>
      </c>
      <c r="C257" t="s">
        <v>521</v>
      </c>
      <c r="D257" t="s">
        <v>810</v>
      </c>
      <c r="E257" t="s">
        <v>783</v>
      </c>
      <c r="F257" t="s">
        <v>784</v>
      </c>
      <c r="G257" t="s">
        <v>785</v>
      </c>
      <c r="I257" s="36" t="s">
        <v>786</v>
      </c>
      <c r="J257" t="s">
        <v>521</v>
      </c>
      <c r="K257" t="s">
        <v>810</v>
      </c>
      <c r="L257" t="s">
        <v>783</v>
      </c>
    </row>
    <row r="258" spans="2:12">
      <c r="B258" s="36" t="s">
        <v>2</v>
      </c>
      <c r="C258">
        <f>G246</f>
        <v>53</v>
      </c>
      <c r="D258">
        <f>G247</f>
        <v>73.5</v>
      </c>
      <c r="E258">
        <f>G248</f>
        <v>8.5</v>
      </c>
      <c r="F258">
        <f>AVERAGE(C258:E258)</f>
        <v>45</v>
      </c>
      <c r="G258" s="39">
        <f>F258-F261</f>
        <v>-4.1388888888888857</v>
      </c>
      <c r="I258" s="36" t="s">
        <v>811</v>
      </c>
      <c r="J258" s="39">
        <f t="shared" ref="J258:L260" si="44">C258-$F$261-$G258-C$262</f>
        <v>5.30555555555555</v>
      </c>
      <c r="K258" s="39">
        <f t="shared" si="44"/>
        <v>9.5555555555555571</v>
      </c>
      <c r="L258" s="39">
        <f t="shared" si="44"/>
        <v>-14.861111111111114</v>
      </c>
    </row>
    <row r="259" spans="2:12">
      <c r="B259" s="36" t="s">
        <v>812</v>
      </c>
      <c r="C259">
        <f>G249</f>
        <v>61.5</v>
      </c>
      <c r="D259">
        <f>G250</f>
        <v>36.75</v>
      </c>
      <c r="E259">
        <f>G251</f>
        <v>55</v>
      </c>
      <c r="F259" s="39">
        <f t="shared" ref="F259:F260" si="45">AVERAGE(C259:E259)</f>
        <v>51.083333333333336</v>
      </c>
      <c r="G259" s="39">
        <f>F259-F261</f>
        <v>1.94444444444445</v>
      </c>
      <c r="I259" s="36" t="s">
        <v>813</v>
      </c>
      <c r="J259" s="39">
        <f t="shared" si="44"/>
        <v>7.7222222222222143</v>
      </c>
      <c r="K259" s="39">
        <f t="shared" si="44"/>
        <v>-33.277777777777779</v>
      </c>
      <c r="L259" s="39">
        <f t="shared" si="44"/>
        <v>25.55555555555555</v>
      </c>
    </row>
    <row r="260" spans="2:12">
      <c r="B260" s="36" t="s">
        <v>789</v>
      </c>
      <c r="C260">
        <f>G252</f>
        <v>41</v>
      </c>
      <c r="D260">
        <f>G253</f>
        <v>94</v>
      </c>
      <c r="E260">
        <f>G254</f>
        <v>19</v>
      </c>
      <c r="F260" s="39">
        <f t="shared" si="45"/>
        <v>51.333333333333336</v>
      </c>
      <c r="G260" s="39">
        <f>F260-F261</f>
        <v>2.19444444444445</v>
      </c>
      <c r="I260" s="36" t="s">
        <v>814</v>
      </c>
      <c r="J260" s="39">
        <f t="shared" si="44"/>
        <v>-13.027777777777786</v>
      </c>
      <c r="K260" s="39">
        <f t="shared" si="44"/>
        <v>23.722222222222221</v>
      </c>
      <c r="L260" s="39">
        <f t="shared" si="44"/>
        <v>-10.69444444444445</v>
      </c>
    </row>
    <row r="261" spans="2:12">
      <c r="B261" s="36" t="s">
        <v>815</v>
      </c>
      <c r="C261" s="39">
        <f>AVERAGE(C258:C260)</f>
        <v>51.833333333333336</v>
      </c>
      <c r="D261" s="39">
        <f t="shared" ref="D261:E261" si="46">AVERAGE(D258:D260)</f>
        <v>68.083333333333329</v>
      </c>
      <c r="E261">
        <f t="shared" si="46"/>
        <v>27.5</v>
      </c>
      <c r="F261" s="39">
        <f>AVERAGE(C258:E260)</f>
        <v>49.138888888888886</v>
      </c>
    </row>
    <row r="262" spans="2:12">
      <c r="B262" s="36" t="s">
        <v>816</v>
      </c>
      <c r="C262" s="39">
        <f>C261-F261</f>
        <v>2.69444444444445</v>
      </c>
      <c r="D262" s="39">
        <f>D261-F261</f>
        <v>18.944444444444443</v>
      </c>
      <c r="E262" s="39">
        <f>E261-F261</f>
        <v>-21.638888888888886</v>
      </c>
    </row>
    <row r="264" spans="2:12">
      <c r="B264" s="35" t="s">
        <v>817</v>
      </c>
      <c r="C264" s="35" t="s">
        <v>818</v>
      </c>
      <c r="D264" s="35" t="s">
        <v>819</v>
      </c>
      <c r="E264" s="35" t="s">
        <v>820</v>
      </c>
      <c r="F264" s="35" t="s">
        <v>821</v>
      </c>
      <c r="G264" t="s">
        <v>822</v>
      </c>
      <c r="H264" s="35" t="s">
        <v>823</v>
      </c>
    </row>
    <row r="265" spans="2:12">
      <c r="B265" s="35" t="s">
        <v>824</v>
      </c>
      <c r="C265" s="35">
        <v>8</v>
      </c>
      <c r="D265" s="39">
        <f>SUMSQ(C258:E260)*4-36*G255^2</f>
        <v>22350.555555555562</v>
      </c>
      <c r="E265" s="39">
        <f>D265/C265</f>
        <v>2793.8194444444453</v>
      </c>
      <c r="F265" s="39">
        <f>E265/E$269</f>
        <v>787.81331592689321</v>
      </c>
      <c r="G265">
        <f>_xlfn.F.DIST.RT(F265,C265,C$269)</f>
        <v>6.1768284713061704E-30</v>
      </c>
      <c r="H265" s="39">
        <f>(E265-E269)/4</f>
        <v>697.56828703703729</v>
      </c>
    </row>
    <row r="266" spans="2:12">
      <c r="B266" s="35" t="s">
        <v>825</v>
      </c>
      <c r="C266" s="35">
        <v>2</v>
      </c>
      <c r="D266" s="39">
        <f>SUMSQ(G258:G260)*12</f>
        <v>308.7222222222224</v>
      </c>
      <c r="E266" s="39">
        <f t="shared" ref="E266:E269" si="47">D266/C266</f>
        <v>154.3611111111112</v>
      </c>
      <c r="F266" s="39">
        <f t="shared" ref="F266:F268" si="48">E266/E$269</f>
        <v>43.527415143603157</v>
      </c>
      <c r="G266">
        <f t="shared" ref="G266:G268" si="49">_xlfn.F.DIST.RT(F266,C266,C$269)</f>
        <v>3.5675995523267476E-9</v>
      </c>
      <c r="H266" s="39">
        <f>(E266-E269)/12</f>
        <v>12.567901234567907</v>
      </c>
    </row>
    <row r="267" spans="2:12">
      <c r="B267" s="35" t="s">
        <v>826</v>
      </c>
      <c r="C267" s="35">
        <v>2</v>
      </c>
      <c r="D267" s="39">
        <f>SUMSQ(C262:E262)*12</f>
        <v>10012.722222222221</v>
      </c>
      <c r="E267" s="39">
        <f t="shared" si="47"/>
        <v>5006.3611111111104</v>
      </c>
      <c r="F267" s="39">
        <f t="shared" si="48"/>
        <v>1411.7154046997387</v>
      </c>
      <c r="G267">
        <f t="shared" si="49"/>
        <v>4.8097114079115723E-28</v>
      </c>
      <c r="H267" s="39">
        <f>(E267-E269)/12</f>
        <v>416.90123456790116</v>
      </c>
    </row>
    <row r="268" spans="2:12">
      <c r="B268" s="35" t="s">
        <v>827</v>
      </c>
      <c r="C268" s="35">
        <v>4</v>
      </c>
      <c r="D268" s="39">
        <f>SUMSQ(J258:L260)*4</f>
        <v>12029.111111111111</v>
      </c>
      <c r="E268" s="39">
        <f t="shared" si="47"/>
        <v>3007.2777777777778</v>
      </c>
      <c r="F268" s="39">
        <f t="shared" si="48"/>
        <v>848.00522193211486</v>
      </c>
      <c r="G268">
        <f t="shared" si="49"/>
        <v>5.9415566995747669E-28</v>
      </c>
      <c r="H268" s="39">
        <f>(E268-E269)/4</f>
        <v>750.93287037037044</v>
      </c>
    </row>
    <row r="269" spans="2:12">
      <c r="B269" s="35" t="s">
        <v>828</v>
      </c>
      <c r="C269" s="35">
        <f>C270-C265</f>
        <v>27</v>
      </c>
      <c r="D269" s="39">
        <f>D270-D265</f>
        <v>95.75</v>
      </c>
      <c r="E269" s="39">
        <f t="shared" si="47"/>
        <v>3.5462962962962963</v>
      </c>
      <c r="F269" s="37"/>
      <c r="H269" s="39">
        <f>E269</f>
        <v>3.5462962962962963</v>
      </c>
    </row>
    <row r="270" spans="2:12">
      <c r="B270" s="35" t="s">
        <v>829</v>
      </c>
      <c r="C270" s="35">
        <v>35</v>
      </c>
      <c r="D270" s="39">
        <f>SUMSQ(C246:F254)-36*G255^2</f>
        <v>22446.305555555562</v>
      </c>
      <c r="E270" s="37"/>
      <c r="F270" s="37"/>
      <c r="H270" s="35"/>
    </row>
  </sheetData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0"/>
  <sheetViews>
    <sheetView topLeftCell="O142" workbookViewId="0">
      <selection activeCell="G180" sqref="G180"/>
    </sheetView>
  </sheetViews>
  <sheetFormatPr defaultRowHeight="14.4"/>
  <cols>
    <col min="1" max="1" width="8.88671875" style="14"/>
    <col min="2" max="2" width="11.5546875" style="14" customWidth="1"/>
    <col min="3" max="3" width="9.44140625" style="14" customWidth="1"/>
    <col min="4" max="7" width="9.77734375" style="14" bestFit="1" customWidth="1"/>
    <col min="8" max="8" width="10.21875" style="14" customWidth="1"/>
    <col min="9" max="9" width="9.88671875" style="14" bestFit="1" customWidth="1"/>
    <col min="10" max="11" width="9.77734375" style="14" bestFit="1" customWidth="1"/>
    <col min="12" max="31" width="9" style="14" bestFit="1" customWidth="1"/>
    <col min="32" max="16384" width="8.88671875" style="14"/>
  </cols>
  <sheetData>
    <row r="1" spans="1:31">
      <c r="A1" s="65" t="s">
        <v>1679</v>
      </c>
      <c r="C1" s="14" t="s">
        <v>830</v>
      </c>
      <c r="D1" s="14" t="s">
        <v>831</v>
      </c>
      <c r="E1" s="14" t="s">
        <v>832</v>
      </c>
    </row>
    <row r="2" spans="1:31" ht="16.8">
      <c r="B2" s="14" t="s">
        <v>78</v>
      </c>
      <c r="C2" s="14" t="s">
        <v>1680</v>
      </c>
      <c r="D2" s="14" t="s">
        <v>263</v>
      </c>
      <c r="E2" s="14" t="s">
        <v>504</v>
      </c>
    </row>
    <row r="3" spans="1:31">
      <c r="B3" s="14" t="s">
        <v>1681</v>
      </c>
      <c r="C3" s="14" t="s">
        <v>833</v>
      </c>
      <c r="D3" s="14" t="s">
        <v>834</v>
      </c>
      <c r="E3" s="66" t="s">
        <v>835</v>
      </c>
    </row>
    <row r="4" spans="1:31" ht="16.8">
      <c r="B4" s="14" t="s">
        <v>1682</v>
      </c>
      <c r="C4" s="66" t="s">
        <v>1683</v>
      </c>
      <c r="D4" s="14" t="s">
        <v>836</v>
      </c>
      <c r="E4" s="66" t="s">
        <v>1684</v>
      </c>
    </row>
    <row r="5" spans="1:31" ht="16.8">
      <c r="B5" s="14" t="s">
        <v>1685</v>
      </c>
    </row>
    <row r="6" spans="1:31" ht="16.8">
      <c r="B6" s="14" t="s">
        <v>1686</v>
      </c>
    </row>
    <row r="7" spans="1:31" ht="16.8">
      <c r="B7" s="14" t="s">
        <v>1687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</row>
    <row r="8" spans="1:31"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</row>
    <row r="9" spans="1:31" s="44" customFormat="1">
      <c r="A9" s="65" t="s">
        <v>1688</v>
      </c>
      <c r="H9" s="44" t="s">
        <v>837</v>
      </c>
      <c r="I9" s="44" t="s">
        <v>838</v>
      </c>
      <c r="J9" s="68"/>
      <c r="K9" s="68" t="s">
        <v>839</v>
      </c>
      <c r="L9" s="68" t="s">
        <v>840</v>
      </c>
      <c r="M9" s="68"/>
      <c r="N9" s="68" t="s">
        <v>841</v>
      </c>
      <c r="O9" s="68"/>
      <c r="P9" s="68"/>
      <c r="Q9" s="68" t="s">
        <v>842</v>
      </c>
      <c r="R9" s="68"/>
      <c r="S9" s="68"/>
      <c r="T9" s="68" t="s">
        <v>843</v>
      </c>
      <c r="W9" s="44" t="s">
        <v>844</v>
      </c>
      <c r="Z9" s="44" t="s">
        <v>845</v>
      </c>
    </row>
    <row r="10" spans="1:31" s="44" customFormat="1">
      <c r="A10" s="44" t="s">
        <v>1673</v>
      </c>
      <c r="B10" s="69" t="s">
        <v>846</v>
      </c>
      <c r="C10" s="69" t="s">
        <v>847</v>
      </c>
      <c r="D10" s="44" t="s">
        <v>848</v>
      </c>
      <c r="E10" s="44" t="s">
        <v>849</v>
      </c>
      <c r="F10" s="44" t="s">
        <v>850</v>
      </c>
      <c r="G10" s="44" t="s">
        <v>851</v>
      </c>
      <c r="H10" s="44" t="s">
        <v>852</v>
      </c>
      <c r="I10" s="44" t="s">
        <v>853</v>
      </c>
      <c r="J10" s="68"/>
      <c r="K10" s="68" t="s">
        <v>854</v>
      </c>
      <c r="L10" s="68" t="s">
        <v>855</v>
      </c>
      <c r="M10" s="68" t="s">
        <v>856</v>
      </c>
      <c r="N10" s="70" t="s">
        <v>846</v>
      </c>
      <c r="O10" s="70" t="s">
        <v>847</v>
      </c>
      <c r="P10" s="68" t="s">
        <v>848</v>
      </c>
      <c r="Q10" s="70" t="s">
        <v>846</v>
      </c>
      <c r="R10" s="70" t="s">
        <v>847</v>
      </c>
      <c r="S10" s="68" t="s">
        <v>848</v>
      </c>
      <c r="T10" s="70" t="s">
        <v>846</v>
      </c>
      <c r="U10" s="69" t="s">
        <v>847</v>
      </c>
      <c r="V10" s="44" t="s">
        <v>848</v>
      </c>
      <c r="W10" s="69" t="s">
        <v>846</v>
      </c>
      <c r="X10" s="69" t="s">
        <v>847</v>
      </c>
      <c r="Y10" s="44" t="s">
        <v>848</v>
      </c>
      <c r="Z10" s="44" t="s">
        <v>857</v>
      </c>
      <c r="AA10" s="44" t="s">
        <v>858</v>
      </c>
      <c r="AB10" s="71" t="s">
        <v>859</v>
      </c>
      <c r="AC10" s="44" t="s">
        <v>860</v>
      </c>
      <c r="AD10" s="44" t="s">
        <v>861</v>
      </c>
      <c r="AE10" s="44" t="s">
        <v>862</v>
      </c>
    </row>
    <row r="11" spans="1:31" s="44" customFormat="1">
      <c r="A11" s="44" t="s">
        <v>1674</v>
      </c>
      <c r="B11" s="44">
        <v>14</v>
      </c>
      <c r="C11" s="44">
        <v>12</v>
      </c>
      <c r="D11" s="44">
        <v>6</v>
      </c>
      <c r="E11" s="44">
        <f t="shared" ref="E11" si="0">(B11+D11)/2</f>
        <v>10</v>
      </c>
      <c r="F11" s="44">
        <f t="shared" ref="F11" si="1">(B11-D11)/2</f>
        <v>4</v>
      </c>
      <c r="G11" s="44">
        <f t="shared" ref="G11" si="2">C11-E11</f>
        <v>2</v>
      </c>
      <c r="H11" s="44">
        <f>1-I11</f>
        <v>0.8</v>
      </c>
      <c r="I11" s="44">
        <v>0.2</v>
      </c>
      <c r="J11" s="68"/>
      <c r="K11" s="72">
        <f t="shared" ref="K11" si="3">I11*(F11+G11*(I11-H11))</f>
        <v>0.55999999999999994</v>
      </c>
      <c r="L11" s="72">
        <f t="shared" ref="L11" si="4">-H11*(F11+G11*(I11-H11))</f>
        <v>-2.2399999999999998</v>
      </c>
      <c r="M11" s="72">
        <f t="shared" ref="M11" si="5">F11+G11*(I11-H11)</f>
        <v>2.8</v>
      </c>
      <c r="N11" s="68">
        <f t="shared" ref="N11" si="6">2*K11</f>
        <v>1.1199999999999999</v>
      </c>
      <c r="O11" s="72">
        <f t="shared" ref="O11" si="7">K11+L11</f>
        <v>-1.6799999999999997</v>
      </c>
      <c r="P11" s="68">
        <f t="shared" ref="P11" si="8">2*L11</f>
        <v>-4.4799999999999995</v>
      </c>
      <c r="Q11" s="68">
        <f t="shared" ref="Q11" si="9">B11-J11</f>
        <v>14</v>
      </c>
      <c r="R11" s="68">
        <f t="shared" ref="R11" si="10">C11-J11</f>
        <v>12</v>
      </c>
      <c r="S11" s="68">
        <f t="shared" ref="S11" si="11">D11-J11</f>
        <v>6</v>
      </c>
      <c r="T11" s="68">
        <f t="shared" ref="T11" si="12">2*I11*(F11-H11*G11)</f>
        <v>0.96</v>
      </c>
      <c r="U11" s="44">
        <f t="shared" ref="U11" si="13">(I11-H11)*F11+(1-2*H11*I11)*G11</f>
        <v>-1.0400000000000005</v>
      </c>
      <c r="V11" s="44">
        <f t="shared" ref="V11" si="14">-2*H11*(F11+I11*G11)</f>
        <v>-7.0400000000000009</v>
      </c>
      <c r="W11" s="44">
        <f>Q11-N11</f>
        <v>12.88</v>
      </c>
      <c r="X11" s="44">
        <f t="shared" ref="X11:Y11" si="15">R11-O11</f>
        <v>13.68</v>
      </c>
      <c r="Y11" s="44">
        <f t="shared" si="15"/>
        <v>10.48</v>
      </c>
      <c r="Z11" s="44">
        <f t="shared" ref="Z11" si="16">2*H11*I11*M11^2</f>
        <v>2.5088000000000004</v>
      </c>
      <c r="AA11" s="44">
        <f t="shared" ref="AA11" si="17">4*H11^2*I11^2*G11^2</f>
        <v>0.40960000000000019</v>
      </c>
      <c r="AB11" s="71">
        <f t="shared" ref="AB11" si="18">SUMPRODUCT(AC11:AE11,(Q11:S11)^2)</f>
        <v>172.96000000000004</v>
      </c>
      <c r="AC11" s="44">
        <f t="shared" ref="AC11" si="19">H11^2</f>
        <v>0.64000000000000012</v>
      </c>
      <c r="AD11" s="44">
        <f t="shared" ref="AD11" si="20">2*H11*I11</f>
        <v>0.32000000000000006</v>
      </c>
      <c r="AE11" s="44">
        <f t="shared" ref="AE11" si="21">I11^2</f>
        <v>4.0000000000000008E-2</v>
      </c>
    </row>
    <row r="12" spans="1:31" s="44" customFormat="1">
      <c r="A12" s="44" t="s">
        <v>1675</v>
      </c>
      <c r="B12" s="44">
        <f>H11^2</f>
        <v>0.64000000000000012</v>
      </c>
      <c r="C12" s="44">
        <f>2*H11*I11</f>
        <v>0.32000000000000006</v>
      </c>
      <c r="D12" s="44">
        <f>I11^2</f>
        <v>4.0000000000000008E-2</v>
      </c>
      <c r="J12" s="68"/>
      <c r="K12" s="72"/>
      <c r="L12" s="72"/>
      <c r="M12" s="72"/>
      <c r="N12" s="68"/>
      <c r="O12" s="72"/>
      <c r="P12" s="68"/>
      <c r="Q12" s="68"/>
      <c r="R12" s="68"/>
      <c r="S12" s="68"/>
      <c r="T12" s="68"/>
      <c r="AB12" s="71"/>
    </row>
    <row r="13" spans="1:31" s="44" customFormat="1">
      <c r="A13" s="44" t="s">
        <v>1676</v>
      </c>
      <c r="B13" s="44">
        <f>SUMPRODUCT(B12:D12,B11:D11)</f>
        <v>13.040000000000001</v>
      </c>
      <c r="J13" s="68"/>
      <c r="K13" s="72"/>
      <c r="L13" s="72"/>
      <c r="M13" s="72"/>
      <c r="N13" s="68"/>
      <c r="O13" s="72"/>
      <c r="P13" s="68"/>
      <c r="Q13" s="68"/>
      <c r="R13" s="68"/>
      <c r="S13" s="68"/>
      <c r="T13" s="68"/>
      <c r="AB13" s="71"/>
    </row>
    <row r="14" spans="1:31" s="44" customFormat="1">
      <c r="A14" s="44" t="s">
        <v>1677</v>
      </c>
      <c r="B14" s="44">
        <f>SUMPRODUCT(B12:D12,(B11:D11)^2)-B13^2</f>
        <v>2.9184000000000196</v>
      </c>
      <c r="J14" s="68"/>
      <c r="K14" s="72"/>
      <c r="L14" s="72"/>
      <c r="M14" s="72"/>
      <c r="N14" s="68"/>
      <c r="O14" s="72"/>
      <c r="P14" s="68"/>
      <c r="Q14" s="68"/>
      <c r="R14" s="68"/>
      <c r="S14" s="68"/>
      <c r="T14" s="68"/>
      <c r="AB14" s="71"/>
    </row>
    <row r="15" spans="1:31" s="44" customFormat="1">
      <c r="A15" s="44" t="s">
        <v>1678</v>
      </c>
      <c r="B15" s="44">
        <f>B11-$B$13</f>
        <v>0.95999999999999908</v>
      </c>
      <c r="C15" s="44">
        <f t="shared" ref="C15:D15" si="22">C11-$B$13</f>
        <v>-1.0400000000000009</v>
      </c>
      <c r="D15" s="44">
        <f t="shared" si="22"/>
        <v>-7.0400000000000009</v>
      </c>
      <c r="J15" s="68"/>
      <c r="K15" s="72"/>
      <c r="L15" s="72"/>
      <c r="M15" s="72"/>
      <c r="N15" s="68"/>
      <c r="O15" s="72"/>
      <c r="P15" s="68"/>
      <c r="Q15" s="68"/>
      <c r="R15" s="68"/>
      <c r="S15" s="68"/>
      <c r="T15" s="68"/>
      <c r="AB15" s="71"/>
    </row>
    <row r="16" spans="1:31" s="44" customFormat="1">
      <c r="A16" s="44" t="s">
        <v>1689</v>
      </c>
      <c r="B16" s="44">
        <f>2*K11</f>
        <v>1.1199999999999999</v>
      </c>
      <c r="C16" s="73">
        <f>K11+L11</f>
        <v>-1.6799999999999997</v>
      </c>
      <c r="D16" s="44">
        <f>2*L11</f>
        <v>-4.4799999999999995</v>
      </c>
      <c r="J16" s="68"/>
      <c r="K16" s="72"/>
      <c r="L16" s="72"/>
      <c r="M16" s="72"/>
      <c r="N16" s="68"/>
      <c r="O16" s="72"/>
      <c r="P16" s="68"/>
      <c r="Q16" s="68"/>
      <c r="R16" s="68"/>
      <c r="S16" s="68"/>
      <c r="T16" s="68"/>
      <c r="AB16" s="71"/>
    </row>
    <row r="17" spans="1:31" s="44" customFormat="1">
      <c r="A17" s="44" t="s">
        <v>1690</v>
      </c>
      <c r="B17" s="44">
        <f>B15-B16</f>
        <v>-0.16000000000000081</v>
      </c>
      <c r="C17" s="44">
        <f t="shared" ref="C17:D17" si="23">C15-C16</f>
        <v>0.63999999999999879</v>
      </c>
      <c r="D17" s="44">
        <f t="shared" si="23"/>
        <v>-2.5600000000000014</v>
      </c>
      <c r="J17" s="68"/>
      <c r="K17" s="72"/>
      <c r="L17" s="72"/>
      <c r="M17" s="72"/>
      <c r="N17" s="68"/>
      <c r="O17" s="72"/>
      <c r="P17" s="68"/>
      <c r="Q17" s="68"/>
      <c r="R17" s="68"/>
      <c r="S17" s="68"/>
      <c r="T17" s="68"/>
      <c r="AB17" s="71"/>
    </row>
    <row r="18" spans="1:31" s="44" customFormat="1">
      <c r="A18" s="44" t="s">
        <v>1691</v>
      </c>
      <c r="B18" s="44">
        <f>SUMPRODUCT(B12:D12,(B16:D16)^2)</f>
        <v>2.5087999999999999</v>
      </c>
      <c r="J18" s="68"/>
      <c r="K18" s="72"/>
      <c r="L18" s="72"/>
      <c r="M18" s="72"/>
      <c r="N18" s="68"/>
      <c r="O18" s="72"/>
      <c r="P18" s="68"/>
      <c r="Q18" s="68"/>
      <c r="R18" s="68"/>
      <c r="S18" s="68"/>
      <c r="T18" s="68"/>
      <c r="AB18" s="71"/>
    </row>
    <row r="19" spans="1:31" s="44" customFormat="1">
      <c r="A19" s="44" t="s">
        <v>1691</v>
      </c>
      <c r="B19" s="44">
        <f>SUMPRODUCT(B12:D12,(B17:D17)^2)</f>
        <v>0.40960000000000002</v>
      </c>
      <c r="J19" s="68"/>
      <c r="K19" s="72"/>
      <c r="L19" s="72"/>
      <c r="M19" s="72"/>
      <c r="N19" s="68"/>
      <c r="O19" s="72"/>
      <c r="P19" s="68"/>
      <c r="Q19" s="68"/>
      <c r="R19" s="68"/>
      <c r="S19" s="68"/>
      <c r="T19" s="68"/>
      <c r="AB19" s="71"/>
    </row>
    <row r="20" spans="1:31" s="44" customFormat="1">
      <c r="A20" s="44" t="s">
        <v>1692</v>
      </c>
      <c r="B20" s="44">
        <f>SUMPRODUCT(B12:D12,(B15:D15)^2)</f>
        <v>2.9184000000000005</v>
      </c>
      <c r="J20" s="68"/>
      <c r="K20" s="72"/>
      <c r="L20" s="72"/>
      <c r="M20" s="72"/>
      <c r="N20" s="68"/>
      <c r="O20" s="72"/>
      <c r="P20" s="68"/>
      <c r="Q20" s="68"/>
      <c r="R20" s="68"/>
      <c r="S20" s="68"/>
      <c r="T20" s="68"/>
      <c r="AB20" s="71"/>
    </row>
    <row r="21" spans="1:31"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</row>
    <row r="22" spans="1:31" s="44" customFormat="1">
      <c r="A22" s="65" t="s">
        <v>1693</v>
      </c>
      <c r="H22" s="44" t="s">
        <v>863</v>
      </c>
      <c r="I22" s="44" t="s">
        <v>864</v>
      </c>
      <c r="J22" s="68"/>
      <c r="K22" s="68" t="s">
        <v>865</v>
      </c>
      <c r="L22" s="68" t="s">
        <v>866</v>
      </c>
      <c r="M22" s="68"/>
      <c r="N22" s="68" t="s">
        <v>867</v>
      </c>
      <c r="O22" s="68"/>
      <c r="P22" s="68"/>
      <c r="Q22" s="68" t="s">
        <v>868</v>
      </c>
      <c r="R22" s="68"/>
      <c r="S22" s="68"/>
      <c r="T22" s="68" t="s">
        <v>869</v>
      </c>
      <c r="W22" s="44" t="s">
        <v>870</v>
      </c>
      <c r="Z22" s="44" t="s">
        <v>871</v>
      </c>
    </row>
    <row r="23" spans="1:31" s="44" customFormat="1">
      <c r="B23" s="69" t="s">
        <v>872</v>
      </c>
      <c r="C23" s="69" t="s">
        <v>873</v>
      </c>
      <c r="D23" s="44" t="s">
        <v>874</v>
      </c>
      <c r="E23" s="44" t="s">
        <v>875</v>
      </c>
      <c r="F23" s="44" t="s">
        <v>876</v>
      </c>
      <c r="G23" s="44" t="s">
        <v>877</v>
      </c>
      <c r="H23" s="44" t="s">
        <v>878</v>
      </c>
      <c r="I23" s="44" t="s">
        <v>879</v>
      </c>
      <c r="J23" s="68" t="s">
        <v>880</v>
      </c>
      <c r="K23" s="68" t="s">
        <v>881</v>
      </c>
      <c r="L23" s="68" t="s">
        <v>882</v>
      </c>
      <c r="M23" s="68" t="s">
        <v>883</v>
      </c>
      <c r="N23" s="70" t="s">
        <v>872</v>
      </c>
      <c r="O23" s="70" t="s">
        <v>873</v>
      </c>
      <c r="P23" s="68" t="s">
        <v>874</v>
      </c>
      <c r="Q23" s="70" t="s">
        <v>872</v>
      </c>
      <c r="R23" s="70" t="s">
        <v>873</v>
      </c>
      <c r="S23" s="68" t="s">
        <v>874</v>
      </c>
      <c r="T23" s="70" t="s">
        <v>872</v>
      </c>
      <c r="U23" s="69" t="s">
        <v>873</v>
      </c>
      <c r="V23" s="44" t="s">
        <v>874</v>
      </c>
      <c r="W23" s="69" t="s">
        <v>872</v>
      </c>
      <c r="X23" s="69" t="s">
        <v>873</v>
      </c>
      <c r="Y23" s="44" t="s">
        <v>874</v>
      </c>
      <c r="Z23" s="44" t="s">
        <v>884</v>
      </c>
      <c r="AA23" s="44" t="s">
        <v>885</v>
      </c>
      <c r="AB23" s="71" t="s">
        <v>886</v>
      </c>
      <c r="AC23" s="44" t="s">
        <v>887</v>
      </c>
      <c r="AD23" s="44" t="s">
        <v>888</v>
      </c>
      <c r="AE23" s="44" t="s">
        <v>889</v>
      </c>
    </row>
    <row r="24" spans="1:31" s="44" customFormat="1">
      <c r="B24" s="44">
        <v>110</v>
      </c>
      <c r="C24" s="44">
        <v>150</v>
      </c>
      <c r="D24" s="44">
        <v>90</v>
      </c>
      <c r="E24" s="44">
        <f t="shared" ref="E24" si="24">(B24+D24)/2</f>
        <v>100</v>
      </c>
      <c r="F24" s="44">
        <f t="shared" ref="F24" si="25">(B24-D24)/2</f>
        <v>10</v>
      </c>
      <c r="G24" s="44">
        <f t="shared" ref="G24" si="26">C24-E24</f>
        <v>50</v>
      </c>
      <c r="H24" s="44">
        <v>0.2</v>
      </c>
      <c r="I24" s="44">
        <v>0.8</v>
      </c>
      <c r="J24" s="68">
        <f>E24+F24*(H24-I24)+2*H24*I24*G24</f>
        <v>110</v>
      </c>
      <c r="K24" s="72">
        <f t="shared" ref="K24" si="27">I24*(F24+G24*(I24-H24))</f>
        <v>32</v>
      </c>
      <c r="L24" s="72">
        <f t="shared" ref="L24" si="28">-H24*(F24+G24*(I24-H24))</f>
        <v>-8</v>
      </c>
      <c r="M24" s="72">
        <f t="shared" ref="M24" si="29">F24+G24*(I24-H24)</f>
        <v>40</v>
      </c>
      <c r="N24" s="68">
        <f t="shared" ref="N24" si="30">2*K24</f>
        <v>64</v>
      </c>
      <c r="O24" s="72">
        <f t="shared" ref="O24" si="31">K24+L24</f>
        <v>24</v>
      </c>
      <c r="P24" s="68">
        <f t="shared" ref="P24" si="32">2*L24</f>
        <v>-16</v>
      </c>
      <c r="Q24" s="68">
        <f t="shared" ref="Q24" si="33">B24-J24</f>
        <v>0</v>
      </c>
      <c r="R24" s="68">
        <f t="shared" ref="R24" si="34">C24-J24</f>
        <v>40</v>
      </c>
      <c r="S24" s="68">
        <f t="shared" ref="S24" si="35">D24-J24</f>
        <v>-20</v>
      </c>
      <c r="T24" s="68">
        <f t="shared" ref="T24" si="36">2*I24*(F24-H24*G24)</f>
        <v>0</v>
      </c>
      <c r="U24" s="44">
        <f t="shared" ref="U24" si="37">(I24-H24)*F24+(1-2*H24*I24)*G24</f>
        <v>40</v>
      </c>
      <c r="V24" s="44">
        <f t="shared" ref="V24" si="38">-2*H24*(F24+I24*G24)</f>
        <v>-20</v>
      </c>
      <c r="W24" s="44">
        <f t="shared" ref="W24:Y24" si="39">Q24-N24</f>
        <v>-64</v>
      </c>
      <c r="X24" s="44">
        <f t="shared" si="39"/>
        <v>16</v>
      </c>
      <c r="Y24" s="44">
        <f t="shared" si="39"/>
        <v>-4</v>
      </c>
      <c r="Z24" s="44">
        <f t="shared" ref="Z24" si="40">2*H24*I24*M24^2</f>
        <v>512.00000000000011</v>
      </c>
      <c r="AA24" s="44">
        <f t="shared" ref="AA24" si="41">4*H24^2*I24^2*G24^2</f>
        <v>256.00000000000011</v>
      </c>
      <c r="AB24" s="71">
        <f t="shared" ref="AB24" si="42">SUMPRODUCT(AC24:AE24,(Q24:S24)^2)</f>
        <v>768.00000000000023</v>
      </c>
      <c r="AC24" s="44">
        <f t="shared" ref="AC24" si="43">H24^2</f>
        <v>4.0000000000000008E-2</v>
      </c>
      <c r="AD24" s="44">
        <f t="shared" ref="AD24" si="44">2*H24*I24</f>
        <v>0.32000000000000006</v>
      </c>
      <c r="AE24" s="44">
        <f t="shared" ref="AE24" si="45">I24^2</f>
        <v>0.64000000000000012</v>
      </c>
    </row>
    <row r="25" spans="1:31" s="44" customFormat="1">
      <c r="A25" s="44" t="s">
        <v>1675</v>
      </c>
      <c r="B25" s="44">
        <f>H24^2</f>
        <v>4.0000000000000008E-2</v>
      </c>
      <c r="C25" s="44">
        <f>2*H24*I24</f>
        <v>0.32000000000000006</v>
      </c>
      <c r="D25" s="44">
        <f>I24^2</f>
        <v>0.64000000000000012</v>
      </c>
      <c r="J25" s="68"/>
      <c r="K25" s="72"/>
      <c r="L25" s="72"/>
      <c r="M25" s="72"/>
      <c r="N25" s="68"/>
      <c r="O25" s="72"/>
      <c r="P25" s="68"/>
      <c r="Q25" s="68"/>
      <c r="R25" s="68"/>
      <c r="S25" s="68"/>
      <c r="T25" s="68"/>
      <c r="AB25" s="71"/>
    </row>
    <row r="26" spans="1:31" s="44" customFormat="1">
      <c r="A26" s="44" t="s">
        <v>1676</v>
      </c>
      <c r="B26" s="44">
        <f>SUMPRODUCT(B25:D25,B24:D24)</f>
        <v>110.00000000000001</v>
      </c>
      <c r="J26" s="68"/>
      <c r="K26" s="72"/>
      <c r="L26" s="72"/>
      <c r="M26" s="72"/>
      <c r="N26" s="68"/>
      <c r="O26" s="72"/>
      <c r="P26" s="68"/>
      <c r="Q26" s="68"/>
      <c r="R26" s="68"/>
      <c r="S26" s="68"/>
      <c r="T26" s="68"/>
      <c r="AB26" s="71"/>
    </row>
    <row r="27" spans="1:31" s="44" customFormat="1">
      <c r="A27" s="44" t="s">
        <v>1677</v>
      </c>
      <c r="B27" s="44">
        <f>SUMPRODUCT(B25:D25,(B24:D24)^2)-B26^2</f>
        <v>768</v>
      </c>
      <c r="J27" s="68"/>
      <c r="K27" s="72"/>
      <c r="L27" s="72"/>
      <c r="M27" s="72"/>
      <c r="N27" s="68"/>
      <c r="O27" s="72"/>
      <c r="P27" s="68"/>
      <c r="Q27" s="68"/>
      <c r="R27" s="68"/>
      <c r="S27" s="68"/>
      <c r="T27" s="68"/>
      <c r="AB27" s="71"/>
    </row>
    <row r="28" spans="1:31" s="44" customFormat="1">
      <c r="A28" s="44" t="s">
        <v>1678</v>
      </c>
      <c r="B28" s="44">
        <f>B24-$B$26</f>
        <v>0</v>
      </c>
      <c r="C28" s="44">
        <f t="shared" ref="C28:D28" si="46">C24-$B$26</f>
        <v>39.999999999999986</v>
      </c>
      <c r="D28" s="44">
        <f t="shared" si="46"/>
        <v>-20.000000000000014</v>
      </c>
      <c r="J28" s="68"/>
      <c r="K28" s="72"/>
      <c r="L28" s="72"/>
      <c r="M28" s="72"/>
      <c r="N28" s="68"/>
      <c r="O28" s="72"/>
      <c r="P28" s="68"/>
      <c r="Q28" s="68"/>
      <c r="R28" s="68"/>
      <c r="S28" s="68"/>
      <c r="T28" s="68"/>
      <c r="AB28" s="71"/>
    </row>
    <row r="29" spans="1:31" s="44" customFormat="1">
      <c r="A29" s="44" t="s">
        <v>1689</v>
      </c>
      <c r="B29" s="44">
        <f>2*K24</f>
        <v>64</v>
      </c>
      <c r="C29" s="44">
        <f>K24+L24</f>
        <v>24</v>
      </c>
      <c r="D29" s="44">
        <f>2*L24</f>
        <v>-16</v>
      </c>
      <c r="J29" s="68"/>
      <c r="K29" s="72"/>
      <c r="L29" s="72"/>
      <c r="M29" s="72"/>
      <c r="N29" s="68"/>
      <c r="O29" s="72"/>
      <c r="P29" s="68"/>
      <c r="Q29" s="68"/>
      <c r="R29" s="68"/>
      <c r="S29" s="68"/>
      <c r="T29" s="68"/>
      <c r="AB29" s="71"/>
    </row>
    <row r="30" spans="1:31" s="44" customFormat="1">
      <c r="A30" s="44" t="s">
        <v>1690</v>
      </c>
      <c r="B30" s="44">
        <f>B28-B29</f>
        <v>-64</v>
      </c>
      <c r="C30" s="44">
        <f t="shared" ref="C30" si="47">C28-C29</f>
        <v>15.999999999999986</v>
      </c>
      <c r="D30" s="44">
        <f t="shared" ref="D30" si="48">D28-D29</f>
        <v>-4.0000000000000142</v>
      </c>
      <c r="J30" s="68"/>
      <c r="K30" s="72"/>
      <c r="L30" s="72"/>
      <c r="M30" s="72"/>
      <c r="N30" s="68"/>
      <c r="O30" s="72"/>
      <c r="P30" s="68"/>
      <c r="Q30" s="68"/>
      <c r="R30" s="68"/>
      <c r="S30" s="68"/>
      <c r="T30" s="68"/>
      <c r="AB30" s="71"/>
    </row>
    <row r="31" spans="1:31" s="44" customFormat="1">
      <c r="A31" s="44" t="s">
        <v>1691</v>
      </c>
      <c r="B31" s="44">
        <f>SUMPRODUCT(B25:D25,(B29:D29)^2)</f>
        <v>512.00000000000011</v>
      </c>
      <c r="J31" s="68"/>
      <c r="K31" s="72"/>
      <c r="L31" s="72"/>
      <c r="M31" s="72"/>
      <c r="N31" s="68"/>
      <c r="O31" s="72"/>
      <c r="P31" s="68"/>
      <c r="Q31" s="68"/>
      <c r="R31" s="68"/>
      <c r="S31" s="68"/>
      <c r="T31" s="68"/>
      <c r="AB31" s="71"/>
    </row>
    <row r="32" spans="1:31" s="44" customFormat="1">
      <c r="A32" s="44" t="s">
        <v>1691</v>
      </c>
      <c r="B32" s="44">
        <f>SUMPRODUCT(B25:D25,(B30:D30)^2)</f>
        <v>255.99999999999997</v>
      </c>
      <c r="J32" s="68"/>
      <c r="K32" s="72"/>
      <c r="L32" s="72"/>
      <c r="M32" s="72"/>
      <c r="N32" s="68"/>
      <c r="O32" s="72"/>
      <c r="P32" s="68"/>
      <c r="Q32" s="68"/>
      <c r="R32" s="68"/>
      <c r="S32" s="68"/>
      <c r="T32" s="68"/>
      <c r="AB32" s="71"/>
    </row>
    <row r="33" spans="1:31" s="44" customFormat="1">
      <c r="A33" s="44" t="s">
        <v>1692</v>
      </c>
      <c r="B33" s="44">
        <f>SUMPRODUCT(B25:D25,(B28:D28)^2)</f>
        <v>768.00000000000011</v>
      </c>
      <c r="J33" s="68"/>
      <c r="K33" s="72"/>
      <c r="L33" s="72"/>
      <c r="M33" s="72"/>
      <c r="N33" s="68"/>
      <c r="O33" s="72"/>
      <c r="P33" s="68"/>
      <c r="Q33" s="68"/>
      <c r="R33" s="68"/>
      <c r="S33" s="68"/>
      <c r="T33" s="68"/>
      <c r="AB33" s="71"/>
    </row>
    <row r="34" spans="1:31"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31" s="44" customFormat="1">
      <c r="A35" s="65" t="s">
        <v>1694</v>
      </c>
      <c r="H35" s="44" t="s">
        <v>890</v>
      </c>
      <c r="I35" s="44" t="s">
        <v>891</v>
      </c>
      <c r="J35" s="68"/>
      <c r="K35" s="68" t="s">
        <v>892</v>
      </c>
      <c r="L35" s="68" t="s">
        <v>893</v>
      </c>
      <c r="M35" s="68"/>
      <c r="N35" s="68" t="s">
        <v>894</v>
      </c>
      <c r="O35" s="68"/>
      <c r="P35" s="68"/>
      <c r="Q35" s="68" t="s">
        <v>895</v>
      </c>
      <c r="R35" s="68"/>
      <c r="S35" s="68"/>
      <c r="T35" s="68" t="s">
        <v>896</v>
      </c>
      <c r="W35" s="44" t="s">
        <v>897</v>
      </c>
      <c r="Z35" s="44" t="s">
        <v>898</v>
      </c>
    </row>
    <row r="36" spans="1:31" s="44" customFormat="1">
      <c r="B36" s="69" t="s">
        <v>899</v>
      </c>
      <c r="C36" s="69" t="s">
        <v>900</v>
      </c>
      <c r="D36" s="44" t="s">
        <v>901</v>
      </c>
      <c r="E36" s="44" t="s">
        <v>902</v>
      </c>
      <c r="F36" s="44" t="s">
        <v>903</v>
      </c>
      <c r="G36" s="44" t="s">
        <v>904</v>
      </c>
      <c r="H36" s="44" t="s">
        <v>905</v>
      </c>
      <c r="I36" s="44" t="s">
        <v>906</v>
      </c>
      <c r="J36" s="68" t="s">
        <v>907</v>
      </c>
      <c r="K36" s="68" t="s">
        <v>908</v>
      </c>
      <c r="L36" s="68" t="s">
        <v>909</v>
      </c>
      <c r="M36" s="68" t="s">
        <v>910</v>
      </c>
      <c r="N36" s="70" t="s">
        <v>899</v>
      </c>
      <c r="O36" s="70" t="s">
        <v>900</v>
      </c>
      <c r="P36" s="68" t="s">
        <v>901</v>
      </c>
      <c r="Q36" s="70" t="s">
        <v>899</v>
      </c>
      <c r="R36" s="70" t="s">
        <v>900</v>
      </c>
      <c r="S36" s="68" t="s">
        <v>901</v>
      </c>
      <c r="T36" s="70" t="s">
        <v>899</v>
      </c>
      <c r="U36" s="69" t="s">
        <v>900</v>
      </c>
      <c r="V36" s="44" t="s">
        <v>901</v>
      </c>
      <c r="W36" s="69" t="s">
        <v>899</v>
      </c>
      <c r="X36" s="69" t="s">
        <v>900</v>
      </c>
      <c r="Y36" s="44" t="s">
        <v>901</v>
      </c>
      <c r="Z36" s="44" t="s">
        <v>911</v>
      </c>
      <c r="AA36" s="44" t="s">
        <v>912</v>
      </c>
      <c r="AB36" s="71" t="s">
        <v>913</v>
      </c>
      <c r="AC36" s="44" t="s">
        <v>914</v>
      </c>
      <c r="AD36" s="44" t="s">
        <v>915</v>
      </c>
      <c r="AE36" s="44" t="s">
        <v>916</v>
      </c>
    </row>
    <row r="37" spans="1:31" s="44" customFormat="1">
      <c r="B37" s="44">
        <v>110</v>
      </c>
      <c r="C37" s="44">
        <v>150</v>
      </c>
      <c r="D37" s="44">
        <v>90</v>
      </c>
      <c r="E37" s="44">
        <f t="shared" ref="E37" si="49">(B37+D37)/2</f>
        <v>100</v>
      </c>
      <c r="F37" s="44">
        <f t="shared" ref="F37" si="50">(B37-D37)/2</f>
        <v>10</v>
      </c>
      <c r="G37" s="44">
        <f t="shared" ref="G37" si="51">C37-E37</f>
        <v>50</v>
      </c>
      <c r="H37" s="44">
        <f>1-I37</f>
        <v>0.6</v>
      </c>
      <c r="I37" s="44">
        <v>0.4</v>
      </c>
      <c r="J37" s="68">
        <f>E37+F37*(H37-I37)+2*H37*I37*G37</f>
        <v>126</v>
      </c>
      <c r="K37" s="72">
        <f t="shared" ref="K37" si="52">I37*(F37+G37*(I37-H37))</f>
        <v>7.1054273576010023E-16</v>
      </c>
      <c r="L37" s="72">
        <f t="shared" ref="L37" si="53">-H37*(F37+G37*(I37-H37))</f>
        <v>-1.0658141036401502E-15</v>
      </c>
      <c r="M37" s="72">
        <f t="shared" ref="M37" si="54">F37+G37*(I37-H37)</f>
        <v>0</v>
      </c>
      <c r="N37" s="68">
        <f t="shared" ref="N37" si="55">2*K37</f>
        <v>1.4210854715202005E-15</v>
      </c>
      <c r="O37" s="72">
        <f t="shared" ref="O37" si="56">K37+L37</f>
        <v>-3.5527136788005001E-16</v>
      </c>
      <c r="P37" s="68">
        <f t="shared" ref="P37" si="57">2*L37</f>
        <v>-2.1316282072803005E-15</v>
      </c>
      <c r="Q37" s="68">
        <f t="shared" ref="Q37" si="58">B37-J37</f>
        <v>-16</v>
      </c>
      <c r="R37" s="68">
        <f t="shared" ref="R37" si="59">C37-J37</f>
        <v>24</v>
      </c>
      <c r="S37" s="68">
        <f t="shared" ref="S37" si="60">D37-J37</f>
        <v>-36</v>
      </c>
      <c r="T37" s="68">
        <f t="shared" ref="T37" si="61">2*I37*(F37-H37*G37)</f>
        <v>-16</v>
      </c>
      <c r="U37" s="44">
        <f t="shared" ref="U37" si="62">(I37-H37)*F37+(1-2*H37*I37)*G37</f>
        <v>24</v>
      </c>
      <c r="V37" s="44">
        <f t="shared" ref="V37" si="63">-2*H37*(F37+I37*G37)</f>
        <v>-36</v>
      </c>
      <c r="W37" s="44">
        <f t="shared" ref="W37:Y37" si="64">Q37-N37</f>
        <v>-16</v>
      </c>
      <c r="X37" s="44">
        <f t="shared" si="64"/>
        <v>24</v>
      </c>
      <c r="Y37" s="44">
        <f t="shared" si="64"/>
        <v>-36</v>
      </c>
      <c r="Z37" s="44">
        <f t="shared" ref="Z37" si="65">2*H37*I37*M37^2</f>
        <v>0</v>
      </c>
      <c r="AA37" s="44">
        <f t="shared" ref="AA37" si="66">4*H37^2*I37^2*G37^2</f>
        <v>576.00000000000011</v>
      </c>
      <c r="AB37" s="71">
        <f t="shared" ref="AB37" si="67">SUMPRODUCT(AC37:AE37,(Q37:S37)^2)</f>
        <v>576</v>
      </c>
      <c r="AC37" s="44">
        <f t="shared" ref="AC37" si="68">H37^2</f>
        <v>0.36</v>
      </c>
      <c r="AD37" s="44">
        <f t="shared" ref="AD37" si="69">2*H37*I37</f>
        <v>0.48</v>
      </c>
      <c r="AE37" s="44">
        <f t="shared" ref="AE37" si="70">I37^2</f>
        <v>0.16000000000000003</v>
      </c>
    </row>
    <row r="38" spans="1:31" s="44" customFormat="1">
      <c r="A38" s="44" t="s">
        <v>1675</v>
      </c>
      <c r="B38" s="44">
        <f>H37^2</f>
        <v>0.36</v>
      </c>
      <c r="C38" s="44">
        <f>2*H37*I37</f>
        <v>0.48</v>
      </c>
      <c r="D38" s="44">
        <f>I37^2</f>
        <v>0.16000000000000003</v>
      </c>
      <c r="J38" s="68"/>
      <c r="K38" s="72"/>
      <c r="L38" s="72"/>
      <c r="M38" s="72"/>
      <c r="N38" s="68"/>
      <c r="O38" s="72"/>
      <c r="P38" s="68"/>
      <c r="Q38" s="68"/>
      <c r="R38" s="68"/>
      <c r="S38" s="68"/>
      <c r="T38" s="68"/>
      <c r="AB38" s="71"/>
    </row>
    <row r="39" spans="1:31" s="44" customFormat="1">
      <c r="A39" s="44" t="s">
        <v>1676</v>
      </c>
      <c r="B39" s="44">
        <f>SUMPRODUCT(B38:D38,B37:D37)</f>
        <v>126</v>
      </c>
      <c r="J39" s="68"/>
      <c r="K39" s="72"/>
      <c r="L39" s="72"/>
      <c r="M39" s="72"/>
      <c r="N39" s="68"/>
      <c r="O39" s="72"/>
      <c r="P39" s="68"/>
      <c r="Q39" s="68"/>
      <c r="R39" s="68"/>
      <c r="S39" s="68"/>
      <c r="T39" s="68"/>
      <c r="AB39" s="71"/>
    </row>
    <row r="40" spans="1:31" s="44" customFormat="1">
      <c r="A40" s="44" t="s">
        <v>1677</v>
      </c>
      <c r="B40" s="44">
        <f>SUMPRODUCT(B38:D38,(B37:D37)^2)-B39^2</f>
        <v>576</v>
      </c>
      <c r="J40" s="68"/>
      <c r="K40" s="72"/>
      <c r="L40" s="72"/>
      <c r="M40" s="72"/>
      <c r="N40" s="68"/>
      <c r="O40" s="72"/>
      <c r="P40" s="68"/>
      <c r="Q40" s="68"/>
      <c r="R40" s="68"/>
      <c r="S40" s="68"/>
      <c r="T40" s="68"/>
      <c r="AB40" s="71"/>
    </row>
    <row r="41" spans="1:31" s="44" customFormat="1">
      <c r="A41" s="44" t="s">
        <v>1678</v>
      </c>
      <c r="B41" s="44">
        <f>B37-$B$39</f>
        <v>-16</v>
      </c>
      <c r="C41" s="44">
        <f t="shared" ref="C41:D41" si="71">C37-$B$39</f>
        <v>24</v>
      </c>
      <c r="D41" s="44">
        <f t="shared" si="71"/>
        <v>-36</v>
      </c>
      <c r="J41" s="68"/>
      <c r="K41" s="72"/>
      <c r="L41" s="72"/>
      <c r="M41" s="72"/>
      <c r="N41" s="68"/>
      <c r="O41" s="72"/>
      <c r="P41" s="68"/>
      <c r="Q41" s="68"/>
      <c r="R41" s="68"/>
      <c r="S41" s="68"/>
      <c r="T41" s="68"/>
      <c r="AB41" s="71"/>
    </row>
    <row r="42" spans="1:31" s="44" customFormat="1">
      <c r="A42" s="44" t="s">
        <v>1689</v>
      </c>
      <c r="B42" s="44">
        <f>2*K37</f>
        <v>1.4210854715202005E-15</v>
      </c>
      <c r="C42" s="73">
        <f>K37+L37</f>
        <v>-3.5527136788005001E-16</v>
      </c>
      <c r="D42" s="44">
        <f>2*L37</f>
        <v>-2.1316282072803005E-15</v>
      </c>
      <c r="J42" s="68"/>
      <c r="K42" s="72"/>
      <c r="L42" s="72"/>
      <c r="M42" s="72"/>
      <c r="N42" s="68"/>
      <c r="O42" s="72"/>
      <c r="P42" s="68"/>
      <c r="Q42" s="68"/>
      <c r="R42" s="68"/>
      <c r="S42" s="68"/>
      <c r="T42" s="68"/>
      <c r="AB42" s="71"/>
    </row>
    <row r="43" spans="1:31" s="44" customFormat="1">
      <c r="A43" s="44" t="s">
        <v>1690</v>
      </c>
      <c r="B43" s="44">
        <f>B41-B42</f>
        <v>-16</v>
      </c>
      <c r="C43" s="44">
        <f t="shared" ref="C43" si="72">C41-C42</f>
        <v>24</v>
      </c>
      <c r="D43" s="44">
        <f t="shared" ref="D43" si="73">D41-D42</f>
        <v>-36</v>
      </c>
      <c r="J43" s="68"/>
      <c r="K43" s="72"/>
      <c r="L43" s="72"/>
      <c r="M43" s="72"/>
      <c r="N43" s="68"/>
      <c r="O43" s="72"/>
      <c r="P43" s="68"/>
      <c r="Q43" s="68"/>
      <c r="R43" s="68"/>
      <c r="S43" s="68"/>
      <c r="T43" s="68"/>
      <c r="AB43" s="71"/>
    </row>
    <row r="44" spans="1:31" s="44" customFormat="1">
      <c r="A44" s="44" t="s">
        <v>1691</v>
      </c>
      <c r="B44" s="44">
        <f>SUMPRODUCT(B38:D38,(B42:D42)^2)</f>
        <v>1.514612938024343E-30</v>
      </c>
      <c r="J44" s="68"/>
      <c r="K44" s="72"/>
      <c r="L44" s="72"/>
      <c r="M44" s="72"/>
      <c r="N44" s="68"/>
      <c r="O44" s="72"/>
      <c r="P44" s="68"/>
      <c r="Q44" s="68"/>
      <c r="R44" s="68"/>
      <c r="S44" s="68"/>
      <c r="T44" s="68"/>
      <c r="AB44" s="71"/>
    </row>
    <row r="45" spans="1:31" s="44" customFormat="1">
      <c r="A45" s="44" t="s">
        <v>1691</v>
      </c>
      <c r="B45" s="44">
        <f>SUMPRODUCT(B38:D38,(B43:D43)^2)</f>
        <v>576</v>
      </c>
      <c r="J45" s="68"/>
      <c r="K45" s="72"/>
      <c r="L45" s="72"/>
      <c r="M45" s="72"/>
      <c r="N45" s="68"/>
      <c r="O45" s="72"/>
      <c r="P45" s="68"/>
      <c r="Q45" s="68"/>
      <c r="R45" s="68"/>
      <c r="S45" s="68"/>
      <c r="T45" s="68"/>
      <c r="AB45" s="71"/>
    </row>
    <row r="46" spans="1:31" s="44" customFormat="1">
      <c r="A46" s="44" t="s">
        <v>1692</v>
      </c>
      <c r="B46" s="44">
        <f>SUMPRODUCT(B38:D38,(B41:D41)^2)</f>
        <v>576</v>
      </c>
      <c r="J46" s="68"/>
      <c r="K46" s="72"/>
      <c r="L46" s="72"/>
      <c r="M46" s="72"/>
      <c r="N46" s="68"/>
      <c r="O46" s="72"/>
      <c r="P46" s="68"/>
      <c r="Q46" s="68"/>
      <c r="R46" s="68"/>
      <c r="S46" s="68"/>
      <c r="T46" s="68"/>
      <c r="AB46" s="71"/>
    </row>
    <row r="47" spans="1:31"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31">
      <c r="A48" s="65" t="s">
        <v>1695</v>
      </c>
      <c r="B48" s="14" t="s">
        <v>260</v>
      </c>
      <c r="C48" s="14" t="s">
        <v>78</v>
      </c>
      <c r="D48" s="14" t="s">
        <v>1696</v>
      </c>
      <c r="E48" s="14" t="s">
        <v>1697</v>
      </c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10" ht="16.8">
      <c r="B49" s="14" t="s">
        <v>917</v>
      </c>
      <c r="C49" s="14" t="s">
        <v>1680</v>
      </c>
      <c r="D49" s="14" t="s">
        <v>918</v>
      </c>
      <c r="E49" s="14">
        <v>2</v>
      </c>
    </row>
    <row r="50" spans="1:10">
      <c r="B50" s="14" t="s">
        <v>919</v>
      </c>
      <c r="C50" s="14" t="s">
        <v>920</v>
      </c>
      <c r="D50" s="14" t="s">
        <v>921</v>
      </c>
      <c r="E50" s="14">
        <v>1</v>
      </c>
    </row>
    <row r="51" spans="1:10" ht="16.8">
      <c r="B51" s="14" t="s">
        <v>922</v>
      </c>
      <c r="C51" s="14" t="s">
        <v>504</v>
      </c>
      <c r="D51" s="66" t="s">
        <v>923</v>
      </c>
      <c r="E51" s="14">
        <v>0</v>
      </c>
    </row>
    <row r="53" spans="1:10" ht="16.8">
      <c r="B53" s="14" t="s">
        <v>1698</v>
      </c>
    </row>
    <row r="54" spans="1:10" ht="16.8">
      <c r="B54" s="14" t="s">
        <v>1699</v>
      </c>
    </row>
    <row r="55" spans="1:10" ht="16.8">
      <c r="B55" s="14" t="s">
        <v>1731</v>
      </c>
    </row>
    <row r="56" spans="1:10">
      <c r="B56" s="14" t="s">
        <v>1700</v>
      </c>
    </row>
    <row r="58" spans="1:10" ht="16.8">
      <c r="A58" s="65" t="s">
        <v>1701</v>
      </c>
      <c r="C58" s="14" t="s">
        <v>1702</v>
      </c>
      <c r="D58" s="14" t="s">
        <v>1735</v>
      </c>
      <c r="E58" s="14" t="s">
        <v>1736</v>
      </c>
      <c r="F58" s="14" t="s">
        <v>1734</v>
      </c>
    </row>
    <row r="59" spans="1:10" ht="16.8">
      <c r="C59" s="14" t="s">
        <v>1735</v>
      </c>
      <c r="D59" s="14">
        <f>D$61*$F59</f>
        <v>0.48999999999999994</v>
      </c>
      <c r="E59" s="14">
        <f>E$61*$F59</f>
        <v>0.21</v>
      </c>
      <c r="F59" s="14">
        <v>0.7</v>
      </c>
    </row>
    <row r="60" spans="1:10" ht="16.8">
      <c r="C60" s="14" t="s">
        <v>1736</v>
      </c>
      <c r="D60" s="14">
        <f>D$61*$F60</f>
        <v>0.21</v>
      </c>
      <c r="E60" s="14">
        <f>E$61*$F60</f>
        <v>0.09</v>
      </c>
      <c r="F60" s="14">
        <v>0.3</v>
      </c>
      <c r="H60" s="14" t="s">
        <v>1732</v>
      </c>
    </row>
    <row r="61" spans="1:10">
      <c r="C61" s="14" t="s">
        <v>1734</v>
      </c>
      <c r="D61" s="14">
        <v>0.7</v>
      </c>
      <c r="E61" s="14">
        <v>0.3</v>
      </c>
    </row>
    <row r="63" spans="1:10" ht="16.8">
      <c r="C63" s="14" t="s">
        <v>1733</v>
      </c>
      <c r="D63" s="14" t="s">
        <v>1735</v>
      </c>
      <c r="E63" s="14" t="s">
        <v>1736</v>
      </c>
      <c r="F63" s="14" t="s">
        <v>784</v>
      </c>
      <c r="G63" s="14" t="s">
        <v>785</v>
      </c>
      <c r="H63" s="14" t="s">
        <v>1703</v>
      </c>
      <c r="I63" s="14" t="s">
        <v>1735</v>
      </c>
      <c r="J63" s="14" t="s">
        <v>1736</v>
      </c>
    </row>
    <row r="64" spans="1:10" ht="16.8">
      <c r="C64" s="14" t="s">
        <v>1735</v>
      </c>
      <c r="D64" s="14">
        <v>14</v>
      </c>
      <c r="E64" s="14">
        <v>12</v>
      </c>
      <c r="F64" s="14">
        <f>SUMPRODUCT(D61:E61,D64:E64)</f>
        <v>13.399999999999999</v>
      </c>
      <c r="G64" s="14">
        <f>F64-F66</f>
        <v>0.96000000000000085</v>
      </c>
      <c r="H64" s="14" t="s">
        <v>1735</v>
      </c>
      <c r="I64" s="14">
        <f>D64-$F$66-$G64-D$67</f>
        <v>-0.35999999999999943</v>
      </c>
      <c r="J64" s="14">
        <f>E64-$F$66-$G64-E$67</f>
        <v>0.83999999999999986</v>
      </c>
    </row>
    <row r="65" spans="1:10" ht="16.8">
      <c r="C65" s="14" t="s">
        <v>1736</v>
      </c>
      <c r="D65" s="14">
        <v>12</v>
      </c>
      <c r="E65" s="14">
        <v>6</v>
      </c>
      <c r="F65" s="14">
        <f>SUMPRODUCT(D61:E61,D65:E65)</f>
        <v>10.199999999999999</v>
      </c>
      <c r="G65" s="14">
        <f>F65-F66</f>
        <v>-2.2399999999999984</v>
      </c>
      <c r="H65" s="14" t="s">
        <v>1736</v>
      </c>
      <c r="I65" s="14">
        <f>D65-$F$66-$G65-D$67</f>
        <v>0.83999999999999986</v>
      </c>
      <c r="J65" s="14">
        <f>E65-$F$66-$G65-E$67</f>
        <v>-1.9600000000000009</v>
      </c>
    </row>
    <row r="66" spans="1:10">
      <c r="C66" s="14" t="s">
        <v>790</v>
      </c>
      <c r="D66" s="14">
        <f>SUMPRODUCT(F59:F60,D64:D65)</f>
        <v>13.399999999999999</v>
      </c>
      <c r="E66" s="14">
        <f>SUMPRODUCT(F59:F60,E64:E65)</f>
        <v>10.199999999999999</v>
      </c>
      <c r="F66" s="14">
        <f>SUMPRODUCT(D59:E60,D64:E65)</f>
        <v>12.439999999999998</v>
      </c>
    </row>
    <row r="67" spans="1:10">
      <c r="C67" s="14" t="s">
        <v>791</v>
      </c>
      <c r="D67" s="14">
        <f>D66-F66</f>
        <v>0.96000000000000085</v>
      </c>
      <c r="E67" s="14">
        <f>E66-F66</f>
        <v>-2.2399999999999984</v>
      </c>
    </row>
    <row r="69" spans="1:10">
      <c r="A69" s="65" t="s">
        <v>1704</v>
      </c>
      <c r="B69" s="14" t="s">
        <v>1705</v>
      </c>
      <c r="C69" s="14" t="s">
        <v>78</v>
      </c>
    </row>
    <row r="70" spans="1:10" ht="16.8">
      <c r="B70" s="14" t="s">
        <v>1735</v>
      </c>
      <c r="C70" s="67">
        <v>0.7</v>
      </c>
    </row>
    <row r="71" spans="1:10" ht="16.8">
      <c r="B71" s="14" t="s">
        <v>1736</v>
      </c>
      <c r="C71" s="67">
        <v>0.3</v>
      </c>
      <c r="E71" s="14" t="s">
        <v>1706</v>
      </c>
    </row>
    <row r="72" spans="1:10" ht="16.8">
      <c r="B72" s="14" t="s">
        <v>260</v>
      </c>
      <c r="C72" s="14" t="s">
        <v>734</v>
      </c>
      <c r="D72" s="14" t="s">
        <v>78</v>
      </c>
      <c r="E72" s="14" t="s">
        <v>1738</v>
      </c>
      <c r="F72" s="14" t="s">
        <v>1739</v>
      </c>
      <c r="G72" s="14" t="s">
        <v>1740</v>
      </c>
      <c r="H72" s="14" t="s">
        <v>1707</v>
      </c>
      <c r="I72" s="14" t="s">
        <v>1737</v>
      </c>
    </row>
    <row r="73" spans="1:10">
      <c r="E73" s="14">
        <f>C74</f>
        <v>10</v>
      </c>
      <c r="F73" s="14">
        <f>C75</f>
        <v>10</v>
      </c>
      <c r="G73" s="14">
        <f>C76</f>
        <v>6</v>
      </c>
    </row>
    <row r="74" spans="1:10" ht="16.8">
      <c r="B74" s="14" t="s">
        <v>1738</v>
      </c>
      <c r="C74" s="67">
        <v>10</v>
      </c>
      <c r="D74" s="14">
        <f>C70^2</f>
        <v>0.48999999999999994</v>
      </c>
      <c r="E74" s="14">
        <f>C70</f>
        <v>0.7</v>
      </c>
      <c r="F74" s="14">
        <f>C71</f>
        <v>0.3</v>
      </c>
      <c r="G74" s="14">
        <v>0</v>
      </c>
      <c r="H74" s="14">
        <f>SUMPRODUCT(E74:G74,E73:G73)</f>
        <v>10</v>
      </c>
      <c r="I74" s="14">
        <f>SUMPRODUCT(E74:G74,(E73:G73)^2)-H74^2</f>
        <v>0</v>
      </c>
    </row>
    <row r="75" spans="1:10" ht="16.8">
      <c r="B75" s="14" t="s">
        <v>1739</v>
      </c>
      <c r="C75" s="67">
        <v>10</v>
      </c>
      <c r="D75" s="14">
        <f>2*C70*C71</f>
        <v>0.42</v>
      </c>
      <c r="E75" s="14">
        <f>C70/2</f>
        <v>0.35</v>
      </c>
      <c r="F75" s="14">
        <v>0.5</v>
      </c>
      <c r="G75" s="14">
        <f>C71/2</f>
        <v>0.15</v>
      </c>
      <c r="H75" s="14">
        <f>SUMPRODUCT(E75:G75,E73:G73)</f>
        <v>9.4</v>
      </c>
      <c r="I75" s="14">
        <f>SUMPRODUCT(E75:G75,(E73:G73)^2)-H75^2</f>
        <v>2.039999999999992</v>
      </c>
    </row>
    <row r="76" spans="1:10" ht="16.8">
      <c r="B76" s="14" t="s">
        <v>1740</v>
      </c>
      <c r="C76" s="77">
        <v>6</v>
      </c>
      <c r="D76" s="14">
        <f>C71^2</f>
        <v>0.09</v>
      </c>
      <c r="F76" s="14">
        <f>C70</f>
        <v>0.7</v>
      </c>
      <c r="G76" s="14">
        <f>C71</f>
        <v>0.3</v>
      </c>
      <c r="H76" s="14">
        <f>SUMPRODUCT(E76:G76,E73:G73)</f>
        <v>8.8000000000000007</v>
      </c>
      <c r="I76" s="14">
        <f>SUMPRODUCT(E76:G76,(E73:G73)^2)-H76^2</f>
        <v>3.3599999999999852</v>
      </c>
    </row>
    <row r="77" spans="1:10">
      <c r="B77" s="14" t="s">
        <v>551</v>
      </c>
      <c r="C77" s="14">
        <f>SUMPRODUCT(D74:D76,C74:C76)</f>
        <v>9.64</v>
      </c>
      <c r="H77" s="14">
        <f>SUMPRODUCT(D74:D76,H74:H76)</f>
        <v>9.6399999999999988</v>
      </c>
    </row>
    <row r="78" spans="1:10">
      <c r="B78" s="14" t="s">
        <v>471</v>
      </c>
      <c r="C78" s="14">
        <f>SUMPRODUCT(D74:D76,(C74:C76)^2)-C77^2</f>
        <v>1.3103999999999871</v>
      </c>
      <c r="H78" s="14">
        <f>SUMPRODUCT(D74:D76,(H74:H76)^2)-H77^2</f>
        <v>0.1512000000000171</v>
      </c>
      <c r="I78" s="14">
        <f>SUMPRODUCT(D74:D76,I74:I76)</f>
        <v>1.1591999999999953</v>
      </c>
      <c r="J78" s="14">
        <f>H78+I78</f>
        <v>1.3104000000000124</v>
      </c>
    </row>
    <row r="79" spans="1:10">
      <c r="B79" s="14" t="s">
        <v>749</v>
      </c>
      <c r="C79" s="14">
        <f>SUMPRODUCT(D74:D76,C74:C76,H74:H76)-C77*H77</f>
        <v>0.30239999999999156</v>
      </c>
    </row>
    <row r="81" spans="1:9">
      <c r="A81" s="65" t="s">
        <v>1709</v>
      </c>
      <c r="C81" s="14" t="s">
        <v>1705</v>
      </c>
      <c r="D81" s="14" t="s">
        <v>78</v>
      </c>
      <c r="E81" s="14" t="s">
        <v>734</v>
      </c>
    </row>
    <row r="82" spans="1:9" ht="16.8">
      <c r="C82" s="14" t="s">
        <v>1735</v>
      </c>
      <c r="D82" s="65">
        <v>0.7</v>
      </c>
    </row>
    <row r="83" spans="1:9" ht="16.8">
      <c r="C83" s="14" t="s">
        <v>1736</v>
      </c>
      <c r="D83" s="65">
        <v>0.3</v>
      </c>
      <c r="H83" s="14" t="s">
        <v>1732</v>
      </c>
    </row>
    <row r="84" spans="1:9" ht="16.8">
      <c r="C84" s="14" t="s">
        <v>1738</v>
      </c>
      <c r="D84" s="67">
        <f>D82^2</f>
        <v>0.48999999999999994</v>
      </c>
      <c r="E84" s="65">
        <v>10</v>
      </c>
    </row>
    <row r="85" spans="1:9" ht="16.8">
      <c r="C85" s="14" t="s">
        <v>1739</v>
      </c>
      <c r="D85" s="67">
        <f>2*D82*D83</f>
        <v>0.42</v>
      </c>
      <c r="E85" s="65">
        <v>10</v>
      </c>
    </row>
    <row r="86" spans="1:9" ht="16.8">
      <c r="C86" s="14" t="s">
        <v>1740</v>
      </c>
      <c r="D86" s="67">
        <f>D83^2</f>
        <v>0.09</v>
      </c>
      <c r="E86" s="65">
        <v>6</v>
      </c>
    </row>
    <row r="87" spans="1:9">
      <c r="D87" s="67"/>
      <c r="E87" s="14" t="s">
        <v>1743</v>
      </c>
    </row>
    <row r="88" spans="1:9" ht="16.8">
      <c r="B88" s="14" t="s">
        <v>260</v>
      </c>
      <c r="C88" s="14" t="s">
        <v>1710</v>
      </c>
      <c r="D88" s="14" t="s">
        <v>78</v>
      </c>
      <c r="E88" s="14" t="s">
        <v>1738</v>
      </c>
      <c r="F88" s="14" t="s">
        <v>1739</v>
      </c>
      <c r="G88" s="14" t="s">
        <v>1740</v>
      </c>
      <c r="H88" s="14" t="s">
        <v>1707</v>
      </c>
      <c r="I88" s="14" t="s">
        <v>1708</v>
      </c>
    </row>
    <row r="89" spans="1:9">
      <c r="B89" s="75"/>
      <c r="C89" s="67"/>
      <c r="E89" s="14">
        <f>E84</f>
        <v>10</v>
      </c>
      <c r="F89" s="14">
        <f>E85</f>
        <v>10</v>
      </c>
      <c r="G89" s="14">
        <f>E86</f>
        <v>6</v>
      </c>
    </row>
    <row r="90" spans="1:9" ht="16.8">
      <c r="B90" s="76" t="s">
        <v>1711</v>
      </c>
      <c r="C90" s="67">
        <v>10</v>
      </c>
      <c r="D90" s="78">
        <f>D84^2</f>
        <v>0.24009999999999992</v>
      </c>
      <c r="E90" s="14">
        <v>1</v>
      </c>
      <c r="F90" s="14">
        <v>0</v>
      </c>
      <c r="G90" s="14">
        <v>0</v>
      </c>
      <c r="H90" s="14">
        <f>SUMPRODUCT(E90:G90,E89:G89)</f>
        <v>10</v>
      </c>
      <c r="I90" s="14">
        <f>SUMPRODUCT(E90:G90,(E89:G89)^2)-H90^2</f>
        <v>0</v>
      </c>
    </row>
    <row r="91" spans="1:9" ht="16.8">
      <c r="B91" s="76" t="s">
        <v>1712</v>
      </c>
      <c r="C91" s="67">
        <v>10</v>
      </c>
      <c r="D91" s="78">
        <f>2*D84*D85</f>
        <v>0.41159999999999991</v>
      </c>
      <c r="E91" s="14">
        <v>0.5</v>
      </c>
      <c r="F91" s="14">
        <v>0.5</v>
      </c>
      <c r="G91" s="14">
        <v>0</v>
      </c>
      <c r="H91" s="14">
        <f>SUMPRODUCT(E91:G91,E89:G89)</f>
        <v>10</v>
      </c>
      <c r="I91" s="14">
        <f>SUMPRODUCT(E91:G91,(E89:G89)^2)-H91^2</f>
        <v>0</v>
      </c>
    </row>
    <row r="92" spans="1:9" ht="16.8">
      <c r="B92" s="76" t="s">
        <v>1713</v>
      </c>
      <c r="C92" s="77">
        <v>8</v>
      </c>
      <c r="D92" s="78">
        <f>2*D84*D86</f>
        <v>8.8199999999999987E-2</v>
      </c>
      <c r="E92" s="14">
        <v>0</v>
      </c>
      <c r="F92" s="14">
        <v>1</v>
      </c>
      <c r="G92" s="14">
        <v>0</v>
      </c>
      <c r="H92" s="14">
        <f>SUMPRODUCT(E92:G92,E89:G89)</f>
        <v>10</v>
      </c>
      <c r="I92" s="14">
        <f>SUMPRODUCT(E92:G92,(E89:G89)^2)-H92^2</f>
        <v>0</v>
      </c>
    </row>
    <row r="93" spans="1:9" ht="16.8">
      <c r="B93" s="76" t="s">
        <v>1714</v>
      </c>
      <c r="C93" s="77">
        <v>10</v>
      </c>
      <c r="D93" s="78">
        <f>D85^2</f>
        <v>0.17639999999999997</v>
      </c>
      <c r="E93" s="14">
        <v>0.25</v>
      </c>
      <c r="F93" s="14">
        <v>0.5</v>
      </c>
      <c r="G93" s="14">
        <v>0.25</v>
      </c>
      <c r="H93" s="14">
        <f>SUMPRODUCT(E93:G93,E89:G89)</f>
        <v>9</v>
      </c>
      <c r="I93" s="14">
        <f>SUMPRODUCT(E93:G93,(E89:G89)^2)-H93^2</f>
        <v>3</v>
      </c>
    </row>
    <row r="94" spans="1:9" ht="16.8">
      <c r="B94" s="76" t="s">
        <v>1715</v>
      </c>
      <c r="C94" s="77">
        <v>8</v>
      </c>
      <c r="D94" s="78">
        <f>2*D85*D86</f>
        <v>7.5600000000000001E-2</v>
      </c>
      <c r="E94" s="14">
        <v>0</v>
      </c>
      <c r="F94" s="14">
        <v>0.5</v>
      </c>
      <c r="G94" s="14">
        <v>0.5</v>
      </c>
      <c r="H94" s="14">
        <f>SUMPRODUCT(E94:G94,E89:G89)</f>
        <v>8</v>
      </c>
      <c r="I94" s="14">
        <f>SUMPRODUCT(E94:G94,(E89:G89)^2)-H94^2</f>
        <v>4</v>
      </c>
    </row>
    <row r="95" spans="1:9" ht="16.8">
      <c r="B95" s="76" t="s">
        <v>1716</v>
      </c>
      <c r="C95" s="77">
        <v>6</v>
      </c>
      <c r="D95" s="78">
        <f>D86^2</f>
        <v>8.0999999999999996E-3</v>
      </c>
      <c r="E95" s="14">
        <v>0</v>
      </c>
      <c r="F95" s="14">
        <v>0</v>
      </c>
      <c r="G95" s="14">
        <v>1</v>
      </c>
      <c r="H95" s="14">
        <f>SUMPRODUCT(E95:G95,E89:G89)</f>
        <v>6</v>
      </c>
      <c r="I95" s="14">
        <f>SUMPRODUCT(E95:G95,(E89:G89)^2)-H95^2</f>
        <v>0</v>
      </c>
    </row>
    <row r="96" spans="1:9">
      <c r="B96" s="75" t="s">
        <v>551</v>
      </c>
      <c r="C96" s="67">
        <f>SUMPRODUCT(D90:D95,C90:C95)</f>
        <v>9.639999999999997</v>
      </c>
      <c r="H96" s="14">
        <f>SUMPRODUCT(D90:D95,H90:H95)</f>
        <v>9.639999999999997</v>
      </c>
    </row>
    <row r="97" spans="1:10">
      <c r="B97" s="14" t="s">
        <v>471</v>
      </c>
      <c r="C97" s="67"/>
      <c r="H97" s="14">
        <f>SUMPRODUCT(D90:D95,(H90:H95)^2)-H96^2</f>
        <v>0.47880000000004941</v>
      </c>
      <c r="I97" s="14">
        <f>SUMPRODUCT(D90:D95,I90:I95)</f>
        <v>0.83159999999999989</v>
      </c>
      <c r="J97" s="14">
        <f>H97+I97</f>
        <v>1.3104000000000493</v>
      </c>
    </row>
    <row r="98" spans="1:10">
      <c r="B98" s="14" t="s">
        <v>749</v>
      </c>
      <c r="C98" s="14">
        <f>SUMPRODUCT(D90:D95,C90:C95,H90:H95)-C96*H96</f>
        <v>0.30240000000004841</v>
      </c>
    </row>
    <row r="100" spans="1:10">
      <c r="A100" s="65" t="s">
        <v>1717</v>
      </c>
      <c r="B100" s="14" t="s">
        <v>1767</v>
      </c>
      <c r="C100" s="14" t="s">
        <v>1746</v>
      </c>
      <c r="D100" s="14">
        <v>0.19</v>
      </c>
    </row>
    <row r="101" spans="1:10">
      <c r="B101" s="14" t="s">
        <v>924</v>
      </c>
      <c r="C101" s="14" t="s">
        <v>925</v>
      </c>
      <c r="D101" s="14">
        <f>(1-D100)/2</f>
        <v>0.40500000000000003</v>
      </c>
      <c r="F101" s="14" t="s">
        <v>1748</v>
      </c>
      <c r="G101" s="14">
        <f>0.25+D106</f>
        <v>0.37554999999999999</v>
      </c>
      <c r="H101" s="14">
        <f>0.25-D106</f>
        <v>0.12445000000000001</v>
      </c>
      <c r="I101" s="14">
        <f>0.25-D106</f>
        <v>0.12445000000000001</v>
      </c>
      <c r="J101" s="14">
        <f>0.25+D106</f>
        <v>0.37554999999999999</v>
      </c>
    </row>
    <row r="102" spans="1:10">
      <c r="B102" s="14" t="s">
        <v>926</v>
      </c>
      <c r="C102" s="14" t="s">
        <v>927</v>
      </c>
      <c r="D102" s="14">
        <f>D100/2</f>
        <v>9.5000000000000001E-2</v>
      </c>
      <c r="E102" s="14" t="s">
        <v>1748</v>
      </c>
      <c r="G102" s="14" t="s">
        <v>162</v>
      </c>
      <c r="H102" s="14" t="s">
        <v>199</v>
      </c>
      <c r="I102" s="14" t="s">
        <v>198</v>
      </c>
      <c r="J102" s="14" t="s">
        <v>1672</v>
      </c>
    </row>
    <row r="103" spans="1:10">
      <c r="B103" s="14" t="s">
        <v>928</v>
      </c>
      <c r="C103" s="14" t="s">
        <v>927</v>
      </c>
      <c r="D103" s="14">
        <f>D100/2</f>
        <v>9.5000000000000001E-2</v>
      </c>
      <c r="E103" s="14">
        <f>0.25+D106</f>
        <v>0.37554999999999999</v>
      </c>
      <c r="F103" s="14" t="s">
        <v>924</v>
      </c>
      <c r="G103" s="14">
        <f>$E103*G$101</f>
        <v>0.1410378025</v>
      </c>
      <c r="H103" s="14">
        <f t="shared" ref="H103:J106" si="74">$E103*H$101</f>
        <v>4.6737197500000001E-2</v>
      </c>
      <c r="I103" s="14">
        <f t="shared" si="74"/>
        <v>4.6737197500000001E-2</v>
      </c>
      <c r="J103" s="14">
        <f t="shared" si="74"/>
        <v>0.1410378025</v>
      </c>
    </row>
    <row r="104" spans="1:10">
      <c r="B104" s="14" t="s">
        <v>929</v>
      </c>
      <c r="C104" s="14" t="s">
        <v>925</v>
      </c>
      <c r="D104" s="14">
        <f>(1-D100)/2</f>
        <v>0.40500000000000003</v>
      </c>
      <c r="E104" s="14">
        <f>0.25-D106</f>
        <v>0.12445000000000001</v>
      </c>
      <c r="F104" s="14" t="s">
        <v>926</v>
      </c>
      <c r="G104" s="14">
        <f t="shared" ref="G104:G106" si="75">$E104*G$101</f>
        <v>4.6737197500000001E-2</v>
      </c>
      <c r="H104" s="14">
        <f t="shared" si="74"/>
        <v>1.5487802500000002E-2</v>
      </c>
      <c r="I104" s="14">
        <f t="shared" si="74"/>
        <v>1.5487802500000002E-2</v>
      </c>
      <c r="J104" s="14">
        <f t="shared" si="74"/>
        <v>4.6737197500000001E-2</v>
      </c>
    </row>
    <row r="105" spans="1:10">
      <c r="B105" s="14" t="s">
        <v>1744</v>
      </c>
      <c r="C105" s="14" t="s">
        <v>1747</v>
      </c>
      <c r="D105" s="14">
        <f>(1-2*D100)/4</f>
        <v>0.155</v>
      </c>
      <c r="E105" s="14">
        <f>0.25-D106</f>
        <v>0.12445000000000001</v>
      </c>
      <c r="F105" s="14" t="s">
        <v>928</v>
      </c>
      <c r="G105" s="14">
        <f t="shared" si="75"/>
        <v>4.6737197500000001E-2</v>
      </c>
      <c r="H105" s="14">
        <f t="shared" si="74"/>
        <v>1.5487802500000002E-2</v>
      </c>
      <c r="I105" s="14">
        <f t="shared" si="74"/>
        <v>1.5487802500000002E-2</v>
      </c>
      <c r="J105" s="14">
        <f t="shared" si="74"/>
        <v>4.6737197500000001E-2</v>
      </c>
    </row>
    <row r="106" spans="1:10">
      <c r="B106" s="14" t="s">
        <v>1745</v>
      </c>
      <c r="C106" s="14" t="s">
        <v>930</v>
      </c>
      <c r="D106" s="14">
        <f>D105*(1-D100)</f>
        <v>0.12554999999999999</v>
      </c>
      <c r="E106" s="14">
        <f>0.25+D106</f>
        <v>0.37554999999999999</v>
      </c>
      <c r="F106" s="14" t="s">
        <v>1672</v>
      </c>
      <c r="G106" s="14">
        <f t="shared" si="75"/>
        <v>0.1410378025</v>
      </c>
      <c r="H106" s="14">
        <f t="shared" si="74"/>
        <v>4.6737197500000001E-2</v>
      </c>
      <c r="I106" s="14">
        <f t="shared" si="74"/>
        <v>4.6737197500000001E-2</v>
      </c>
      <c r="J106" s="14">
        <f>$E106*J$101</f>
        <v>0.1410378025</v>
      </c>
    </row>
    <row r="108" spans="1:10">
      <c r="C108" s="14" t="s">
        <v>1764</v>
      </c>
      <c r="D108" s="14">
        <f>2*D100/(1+2*D100)</f>
        <v>0.27536231884057971</v>
      </c>
    </row>
    <row r="109" spans="1:10">
      <c r="C109" s="14" t="s">
        <v>1757</v>
      </c>
      <c r="D109" s="14" t="s">
        <v>1758</v>
      </c>
      <c r="E109" s="14" t="s">
        <v>1759</v>
      </c>
      <c r="F109" s="14" t="s">
        <v>1760</v>
      </c>
      <c r="G109" s="14" t="s">
        <v>1761</v>
      </c>
      <c r="H109" s="14" t="s">
        <v>1766</v>
      </c>
    </row>
    <row r="110" spans="1:10">
      <c r="B110" s="14" t="s">
        <v>1749</v>
      </c>
      <c r="C110" s="14">
        <f>G103</f>
        <v>0.1410378025</v>
      </c>
      <c r="D110" s="14">
        <v>1</v>
      </c>
      <c r="E110" s="14">
        <v>0</v>
      </c>
      <c r="F110" s="14">
        <v>0</v>
      </c>
      <c r="G110" s="14">
        <v>0</v>
      </c>
      <c r="H110" s="14">
        <f>(1+4*D106)^2/16</f>
        <v>0.1410378025</v>
      </c>
    </row>
    <row r="111" spans="1:10">
      <c r="B111" s="14" t="s">
        <v>1750</v>
      </c>
      <c r="C111" s="14">
        <f>I103+G105</f>
        <v>9.3474395000000002E-2</v>
      </c>
      <c r="D111" s="14">
        <v>0.5</v>
      </c>
      <c r="E111" s="14">
        <v>0.5</v>
      </c>
      <c r="F111" s="14">
        <v>0</v>
      </c>
      <c r="G111" s="14">
        <v>0</v>
      </c>
      <c r="H111" s="14">
        <f>(1-16*D106^2)/8</f>
        <v>9.3474395000000002E-2</v>
      </c>
    </row>
    <row r="112" spans="1:10">
      <c r="B112" s="14" t="s">
        <v>1751</v>
      </c>
      <c r="C112" s="14">
        <f>I105</f>
        <v>1.5487802500000002E-2</v>
      </c>
      <c r="D112" s="14">
        <v>0</v>
      </c>
      <c r="E112" s="14">
        <v>1</v>
      </c>
      <c r="F112" s="14">
        <v>0</v>
      </c>
      <c r="G112" s="14">
        <v>0</v>
      </c>
      <c r="H112" s="14">
        <f>(1-4*D106)^2/16</f>
        <v>1.5487802500000002E-2</v>
      </c>
    </row>
    <row r="113" spans="1:13">
      <c r="B113" s="14" t="s">
        <v>1752</v>
      </c>
      <c r="C113" s="14">
        <f>H103+G104</f>
        <v>9.3474395000000002E-2</v>
      </c>
      <c r="D113" s="14">
        <v>0.5</v>
      </c>
      <c r="E113" s="14">
        <v>0</v>
      </c>
      <c r="F113" s="14">
        <v>0.5</v>
      </c>
      <c r="G113" s="14">
        <v>0</v>
      </c>
      <c r="H113" s="14">
        <f>(1-16*D106^2)/8</f>
        <v>9.3474395000000002E-2</v>
      </c>
    </row>
    <row r="114" spans="1:13">
      <c r="B114" s="14" t="s">
        <v>1762</v>
      </c>
      <c r="C114" s="14">
        <f>J103+G106</f>
        <v>0.28207560500000001</v>
      </c>
      <c r="D114" s="14">
        <f>(1-D108)/2</f>
        <v>0.36231884057971014</v>
      </c>
      <c r="E114" s="14">
        <f>D108/2</f>
        <v>0.13768115942028986</v>
      </c>
      <c r="F114" s="14">
        <f>D108/2</f>
        <v>0.13768115942028986</v>
      </c>
      <c r="G114" s="14">
        <f>(1-D108)/2</f>
        <v>0.36231884057971014</v>
      </c>
      <c r="H114" s="14">
        <f>(1+4*D106)^2/8</f>
        <v>0.28207560500000001</v>
      </c>
    </row>
    <row r="115" spans="1:13">
      <c r="B115" s="14" t="s">
        <v>1763</v>
      </c>
      <c r="C115" s="14">
        <f>I104+H105</f>
        <v>3.0975605000000003E-2</v>
      </c>
      <c r="D115" s="14">
        <f>D108/2</f>
        <v>0.13768115942028986</v>
      </c>
      <c r="E115" s="14">
        <f>(1-D108)/2</f>
        <v>0.36231884057971014</v>
      </c>
      <c r="F115" s="14">
        <f>(1-D108)/2</f>
        <v>0.36231884057971014</v>
      </c>
      <c r="G115" s="14">
        <f>D108/2</f>
        <v>0.13768115942028986</v>
      </c>
      <c r="H115" s="14">
        <f>(1-4*D106)^2/8</f>
        <v>3.0975605000000003E-2</v>
      </c>
    </row>
    <row r="116" spans="1:13">
      <c r="B116" s="14" t="s">
        <v>1753</v>
      </c>
      <c r="C116" s="14">
        <f>J105+I106</f>
        <v>9.3474395000000002E-2</v>
      </c>
      <c r="D116" s="14">
        <v>0</v>
      </c>
      <c r="E116" s="14">
        <v>0.5</v>
      </c>
      <c r="F116" s="14">
        <v>0</v>
      </c>
      <c r="G116" s="14">
        <v>0.5</v>
      </c>
      <c r="H116" s="14">
        <f>(1-16*D106^2)/8</f>
        <v>9.3474395000000002E-2</v>
      </c>
    </row>
    <row r="117" spans="1:13">
      <c r="B117" s="14" t="s">
        <v>1754</v>
      </c>
      <c r="C117" s="14">
        <f>H104</f>
        <v>1.5487802500000002E-2</v>
      </c>
      <c r="D117" s="14">
        <v>0</v>
      </c>
      <c r="E117" s="14">
        <v>0</v>
      </c>
      <c r="F117" s="14">
        <v>1</v>
      </c>
      <c r="G117" s="14">
        <v>0</v>
      </c>
      <c r="H117" s="14">
        <f>(1-4*D106)^2/16</f>
        <v>1.5487802500000002E-2</v>
      </c>
    </row>
    <row r="118" spans="1:13">
      <c r="B118" s="14" t="s">
        <v>1755</v>
      </c>
      <c r="C118" s="14">
        <f>J104+H106</f>
        <v>9.3474395000000002E-2</v>
      </c>
      <c r="D118" s="14">
        <v>0</v>
      </c>
      <c r="E118" s="14">
        <v>0</v>
      </c>
      <c r="F118" s="14">
        <v>0.5</v>
      </c>
      <c r="G118" s="14">
        <v>0.5</v>
      </c>
      <c r="H118" s="14">
        <f>(1-16*D106^2)/8</f>
        <v>9.3474395000000002E-2</v>
      </c>
    </row>
    <row r="119" spans="1:13">
      <c r="B119" s="14" t="s">
        <v>1756</v>
      </c>
      <c r="C119" s="14">
        <f>J106</f>
        <v>0.1410378025</v>
      </c>
      <c r="D119" s="14">
        <v>0</v>
      </c>
      <c r="E119" s="14">
        <v>0</v>
      </c>
      <c r="F119" s="14">
        <v>0</v>
      </c>
      <c r="G119" s="14">
        <v>1</v>
      </c>
      <c r="H119" s="14">
        <f>(1+4*D106)^2/16</f>
        <v>0.1410378025</v>
      </c>
    </row>
    <row r="120" spans="1:13">
      <c r="B120" s="14" t="s">
        <v>1765</v>
      </c>
      <c r="D120" s="14">
        <f>SUMPRODUCT(C110:C119,D110:D119)</f>
        <v>0.34097826086956518</v>
      </c>
      <c r="E120" s="14">
        <f>SUMPRODUCT(C110:C119,E110:E119)</f>
        <v>0.15902173913043477</v>
      </c>
      <c r="F120" s="14">
        <f>SUMPRODUCT(C110:C119,F110:F119)</f>
        <v>0.15902173913043477</v>
      </c>
      <c r="G120" s="14">
        <f>SUMPRODUCT(C110:C119,G110:G119)</f>
        <v>0.34097826086956518</v>
      </c>
    </row>
    <row r="121" spans="1:13">
      <c r="D121" s="14">
        <f>0.25+D106/(1+2*D100)</f>
        <v>0.34097826086956523</v>
      </c>
    </row>
    <row r="122" spans="1:13">
      <c r="D122" s="14">
        <f>0.25+D106*(1-D108)</f>
        <v>0.34097826086956523</v>
      </c>
      <c r="E122" s="14">
        <f>0.25-D106*(1-D108)</f>
        <v>0.15902173913043477</v>
      </c>
    </row>
    <row r="124" spans="1:13">
      <c r="A124" s="65" t="s">
        <v>1718</v>
      </c>
      <c r="D124" s="14" t="s">
        <v>734</v>
      </c>
      <c r="E124" s="14" t="s">
        <v>931</v>
      </c>
      <c r="F124" s="14" t="s">
        <v>932</v>
      </c>
      <c r="G124" s="14" t="s">
        <v>933</v>
      </c>
      <c r="H124" s="14" t="s">
        <v>934</v>
      </c>
      <c r="I124" s="14" t="s">
        <v>935</v>
      </c>
      <c r="J124" s="14" t="s">
        <v>936</v>
      </c>
      <c r="K124" s="14" t="s">
        <v>937</v>
      </c>
      <c r="L124" s="14" t="s">
        <v>938</v>
      </c>
      <c r="M124" s="14" t="s">
        <v>939</v>
      </c>
    </row>
    <row r="125" spans="1:13">
      <c r="B125" s="14" t="s">
        <v>940</v>
      </c>
      <c r="C125" s="14" t="s">
        <v>941</v>
      </c>
      <c r="D125" s="14">
        <v>13</v>
      </c>
      <c r="E125" s="14">
        <v>1</v>
      </c>
      <c r="F125" s="14">
        <v>1</v>
      </c>
      <c r="G125" s="14">
        <v>0</v>
      </c>
      <c r="H125" s="14">
        <v>1</v>
      </c>
      <c r="I125" s="14">
        <v>0</v>
      </c>
      <c r="J125" s="14">
        <f>F125*H125</f>
        <v>1</v>
      </c>
      <c r="K125" s="14">
        <f>F125*I125</f>
        <v>0</v>
      </c>
      <c r="L125" s="14">
        <f>H125*G125</f>
        <v>0</v>
      </c>
      <c r="M125" s="14">
        <f>G125*I125</f>
        <v>0</v>
      </c>
    </row>
    <row r="126" spans="1:13">
      <c r="B126" s="14" t="s">
        <v>940</v>
      </c>
      <c r="C126" s="14" t="s">
        <v>942</v>
      </c>
      <c r="D126" s="14">
        <v>13</v>
      </c>
      <c r="E126" s="14">
        <v>1</v>
      </c>
      <c r="F126" s="14">
        <v>1</v>
      </c>
      <c r="G126" s="14">
        <v>0</v>
      </c>
      <c r="H126" s="14">
        <v>0</v>
      </c>
      <c r="I126" s="14">
        <v>1</v>
      </c>
      <c r="J126" s="14">
        <f t="shared" ref="J126:J133" si="76">F126*H126</f>
        <v>0</v>
      </c>
      <c r="K126" s="14">
        <f t="shared" ref="K126:K133" si="77">F126*I126</f>
        <v>1</v>
      </c>
      <c r="L126" s="14">
        <f t="shared" ref="L126:L133" si="78">H126*G126</f>
        <v>0</v>
      </c>
      <c r="M126" s="14">
        <f t="shared" ref="M126:M133" si="79">G126*I126</f>
        <v>0</v>
      </c>
    </row>
    <row r="127" spans="1:13">
      <c r="B127" s="14" t="s">
        <v>940</v>
      </c>
      <c r="C127" s="14" t="s">
        <v>943</v>
      </c>
      <c r="D127" s="14">
        <v>13</v>
      </c>
      <c r="E127" s="14">
        <v>1</v>
      </c>
      <c r="F127" s="14">
        <v>1</v>
      </c>
      <c r="G127" s="14">
        <v>0</v>
      </c>
      <c r="H127" s="14">
        <v>-1</v>
      </c>
      <c r="I127" s="14">
        <v>0</v>
      </c>
      <c r="J127" s="14">
        <f t="shared" si="76"/>
        <v>-1</v>
      </c>
      <c r="K127" s="14">
        <f t="shared" si="77"/>
        <v>0</v>
      </c>
      <c r="L127" s="14">
        <f t="shared" si="78"/>
        <v>0</v>
      </c>
      <c r="M127" s="14">
        <f t="shared" si="79"/>
        <v>0</v>
      </c>
    </row>
    <row r="128" spans="1:13">
      <c r="B128" s="14" t="s">
        <v>944</v>
      </c>
      <c r="C128" s="14" t="s">
        <v>941</v>
      </c>
      <c r="D128" s="14">
        <v>13</v>
      </c>
      <c r="E128" s="14">
        <v>1</v>
      </c>
      <c r="F128" s="14">
        <v>0</v>
      </c>
      <c r="G128" s="14">
        <v>1</v>
      </c>
      <c r="H128" s="14">
        <v>1</v>
      </c>
      <c r="I128" s="14">
        <v>0</v>
      </c>
      <c r="J128" s="14">
        <f t="shared" si="76"/>
        <v>0</v>
      </c>
      <c r="K128" s="14">
        <f t="shared" si="77"/>
        <v>0</v>
      </c>
      <c r="L128" s="14">
        <f t="shared" si="78"/>
        <v>1</v>
      </c>
      <c r="M128" s="14">
        <f t="shared" si="79"/>
        <v>0</v>
      </c>
    </row>
    <row r="129" spans="2:13">
      <c r="B129" s="14" t="s">
        <v>944</v>
      </c>
      <c r="C129" s="14" t="s">
        <v>942</v>
      </c>
      <c r="D129" s="14">
        <v>13</v>
      </c>
      <c r="E129" s="14">
        <v>1</v>
      </c>
      <c r="F129" s="14">
        <v>0</v>
      </c>
      <c r="G129" s="14">
        <v>1</v>
      </c>
      <c r="H129" s="14">
        <v>0</v>
      </c>
      <c r="I129" s="14">
        <v>1</v>
      </c>
      <c r="J129" s="14">
        <f t="shared" si="76"/>
        <v>0</v>
      </c>
      <c r="K129" s="14">
        <f t="shared" si="77"/>
        <v>0</v>
      </c>
      <c r="L129" s="14">
        <f t="shared" si="78"/>
        <v>0</v>
      </c>
      <c r="M129" s="14">
        <f t="shared" si="79"/>
        <v>1</v>
      </c>
    </row>
    <row r="130" spans="2:13">
      <c r="B130" s="14" t="s">
        <v>944</v>
      </c>
      <c r="C130" s="14" t="s">
        <v>943</v>
      </c>
      <c r="D130" s="14">
        <v>13</v>
      </c>
      <c r="E130" s="14">
        <v>1</v>
      </c>
      <c r="F130" s="14">
        <v>0</v>
      </c>
      <c r="G130" s="14">
        <v>1</v>
      </c>
      <c r="H130" s="14">
        <v>-1</v>
      </c>
      <c r="I130" s="14">
        <v>0</v>
      </c>
      <c r="J130" s="14">
        <f t="shared" si="76"/>
        <v>0</v>
      </c>
      <c r="K130" s="14">
        <f t="shared" si="77"/>
        <v>0</v>
      </c>
      <c r="L130" s="14">
        <f t="shared" si="78"/>
        <v>-1</v>
      </c>
      <c r="M130" s="14">
        <f t="shared" si="79"/>
        <v>0</v>
      </c>
    </row>
    <row r="131" spans="2:13">
      <c r="B131" s="14" t="s">
        <v>936</v>
      </c>
      <c r="C131" s="14" t="s">
        <v>941</v>
      </c>
      <c r="D131" s="14">
        <v>13</v>
      </c>
      <c r="E131" s="14">
        <v>1</v>
      </c>
      <c r="F131" s="14">
        <v>-1</v>
      </c>
      <c r="G131" s="14">
        <v>0</v>
      </c>
      <c r="H131" s="14">
        <v>1</v>
      </c>
      <c r="I131" s="14">
        <v>0</v>
      </c>
      <c r="J131" s="14">
        <f t="shared" si="76"/>
        <v>-1</v>
      </c>
      <c r="K131" s="14">
        <f t="shared" si="77"/>
        <v>0</v>
      </c>
      <c r="L131" s="14">
        <f t="shared" si="78"/>
        <v>0</v>
      </c>
      <c r="M131" s="14">
        <f t="shared" si="79"/>
        <v>0</v>
      </c>
    </row>
    <row r="132" spans="2:13">
      <c r="B132" s="14" t="s">
        <v>936</v>
      </c>
      <c r="C132" s="14" t="s">
        <v>942</v>
      </c>
      <c r="D132" s="14">
        <v>13</v>
      </c>
      <c r="E132" s="14">
        <v>1</v>
      </c>
      <c r="F132" s="14">
        <v>-1</v>
      </c>
      <c r="G132" s="14">
        <v>0</v>
      </c>
      <c r="H132" s="14">
        <v>0</v>
      </c>
      <c r="I132" s="14">
        <v>1</v>
      </c>
      <c r="J132" s="14">
        <f t="shared" si="76"/>
        <v>0</v>
      </c>
      <c r="K132" s="14">
        <f t="shared" si="77"/>
        <v>-1</v>
      </c>
      <c r="L132" s="14">
        <f t="shared" si="78"/>
        <v>0</v>
      </c>
      <c r="M132" s="14">
        <f t="shared" si="79"/>
        <v>0</v>
      </c>
    </row>
    <row r="133" spans="2:13">
      <c r="B133" s="14" t="s">
        <v>936</v>
      </c>
      <c r="C133" s="14" t="s">
        <v>943</v>
      </c>
      <c r="D133" s="14">
        <v>1</v>
      </c>
      <c r="E133" s="14">
        <v>1</v>
      </c>
      <c r="F133" s="14">
        <v>-1</v>
      </c>
      <c r="G133" s="14">
        <v>0</v>
      </c>
      <c r="H133" s="14">
        <v>-1</v>
      </c>
      <c r="I133" s="14">
        <v>0</v>
      </c>
      <c r="J133" s="14">
        <f t="shared" si="76"/>
        <v>1</v>
      </c>
      <c r="K133" s="14">
        <f t="shared" si="77"/>
        <v>0</v>
      </c>
      <c r="L133" s="14">
        <f t="shared" si="78"/>
        <v>0</v>
      </c>
      <c r="M133" s="14">
        <f t="shared" si="79"/>
        <v>0</v>
      </c>
    </row>
    <row r="134" spans="2:13">
      <c r="E134" s="14" t="s">
        <v>931</v>
      </c>
      <c r="F134" s="14" t="s">
        <v>932</v>
      </c>
      <c r="G134" s="14" t="s">
        <v>933</v>
      </c>
      <c r="H134" s="14" t="s">
        <v>934</v>
      </c>
      <c r="I134" s="14" t="s">
        <v>935</v>
      </c>
      <c r="J134" s="14" t="s">
        <v>936</v>
      </c>
      <c r="K134" s="14" t="s">
        <v>937</v>
      </c>
      <c r="L134" s="14" t="s">
        <v>938</v>
      </c>
      <c r="M134" s="14" t="s">
        <v>939</v>
      </c>
    </row>
    <row r="135" spans="2:13">
      <c r="B135" s="74" t="s">
        <v>945</v>
      </c>
      <c r="C135" s="65" t="s">
        <v>931</v>
      </c>
      <c r="D135" s="65">
        <f t="array" ref="D135:D143">MMULT(E135:M143,D125:D133)</f>
        <v>10</v>
      </c>
      <c r="E135" s="14">
        <f t="array" ref="E135:M143">MINVERSE(E125:M133)</f>
        <v>0.25</v>
      </c>
      <c r="F135" s="14">
        <v>0</v>
      </c>
      <c r="G135" s="14">
        <v>0.25</v>
      </c>
      <c r="H135" s="14">
        <v>0</v>
      </c>
      <c r="I135" s="14">
        <v>0</v>
      </c>
      <c r="J135" s="14">
        <v>0</v>
      </c>
      <c r="K135" s="14">
        <v>0.25</v>
      </c>
      <c r="L135" s="14">
        <v>0</v>
      </c>
      <c r="M135" s="14">
        <v>0.25</v>
      </c>
    </row>
    <row r="136" spans="2:13">
      <c r="C136" s="65" t="s">
        <v>932</v>
      </c>
      <c r="D136" s="65">
        <v>3</v>
      </c>
      <c r="E136" s="14">
        <v>0.25</v>
      </c>
      <c r="F136" s="14">
        <v>0</v>
      </c>
      <c r="G136" s="14">
        <v>0.25</v>
      </c>
      <c r="H136" s="14">
        <v>0</v>
      </c>
      <c r="I136" s="14">
        <v>0</v>
      </c>
      <c r="J136" s="14">
        <v>0</v>
      </c>
      <c r="K136" s="14">
        <v>-0.25</v>
      </c>
      <c r="L136" s="14">
        <v>0</v>
      </c>
      <c r="M136" s="14">
        <v>-0.25</v>
      </c>
    </row>
    <row r="137" spans="2:13">
      <c r="C137" s="65" t="s">
        <v>933</v>
      </c>
      <c r="D137" s="65">
        <v>3</v>
      </c>
      <c r="E137" s="14">
        <v>-0.25</v>
      </c>
      <c r="F137" s="14">
        <v>0</v>
      </c>
      <c r="G137" s="14">
        <v>-0.25</v>
      </c>
      <c r="H137" s="14">
        <v>0.5</v>
      </c>
      <c r="I137" s="14">
        <v>0</v>
      </c>
      <c r="J137" s="14">
        <v>0.5</v>
      </c>
      <c r="K137" s="14">
        <v>-0.25</v>
      </c>
      <c r="L137" s="14">
        <v>0</v>
      </c>
      <c r="M137" s="14">
        <v>-0.25</v>
      </c>
    </row>
    <row r="138" spans="2:13">
      <c r="C138" s="65" t="s">
        <v>934</v>
      </c>
      <c r="D138" s="65">
        <v>3</v>
      </c>
      <c r="E138" s="14">
        <v>0.25</v>
      </c>
      <c r="F138" s="14">
        <v>0</v>
      </c>
      <c r="G138" s="14">
        <v>-0.25</v>
      </c>
      <c r="H138" s="14">
        <v>0</v>
      </c>
      <c r="I138" s="14">
        <v>0</v>
      </c>
      <c r="J138" s="14">
        <v>0</v>
      </c>
      <c r="K138" s="14">
        <v>0.25</v>
      </c>
      <c r="L138" s="14">
        <v>0</v>
      </c>
      <c r="M138" s="14">
        <v>-0.25</v>
      </c>
    </row>
    <row r="139" spans="2:13">
      <c r="C139" s="65" t="s">
        <v>935</v>
      </c>
      <c r="D139" s="65">
        <v>3</v>
      </c>
      <c r="E139" s="14">
        <v>-0.25</v>
      </c>
      <c r="F139" s="14">
        <v>0.5</v>
      </c>
      <c r="G139" s="14">
        <v>-0.25</v>
      </c>
      <c r="H139" s="14">
        <v>0</v>
      </c>
      <c r="I139" s="14">
        <v>0</v>
      </c>
      <c r="J139" s="14">
        <v>0</v>
      </c>
      <c r="K139" s="14">
        <v>-0.25</v>
      </c>
      <c r="L139" s="14">
        <v>0.5</v>
      </c>
      <c r="M139" s="14">
        <v>-0.25</v>
      </c>
    </row>
    <row r="140" spans="2:13">
      <c r="C140" s="65" t="s">
        <v>936</v>
      </c>
      <c r="D140" s="65">
        <v>-3</v>
      </c>
      <c r="E140" s="14">
        <v>0.25</v>
      </c>
      <c r="F140" s="14">
        <v>0</v>
      </c>
      <c r="G140" s="14">
        <v>-0.25</v>
      </c>
      <c r="H140" s="14">
        <v>0</v>
      </c>
      <c r="I140" s="14">
        <v>0</v>
      </c>
      <c r="J140" s="14">
        <v>0</v>
      </c>
      <c r="K140" s="14">
        <v>-0.25</v>
      </c>
      <c r="L140" s="14">
        <v>0</v>
      </c>
      <c r="M140" s="14">
        <v>0.25</v>
      </c>
    </row>
    <row r="141" spans="2:13">
      <c r="C141" s="65" t="s">
        <v>937</v>
      </c>
      <c r="D141" s="65">
        <v>-3</v>
      </c>
      <c r="E141" s="14">
        <v>-0.25</v>
      </c>
      <c r="F141" s="14">
        <v>0.5</v>
      </c>
      <c r="G141" s="14">
        <v>-0.25</v>
      </c>
      <c r="H141" s="14">
        <v>0</v>
      </c>
      <c r="I141" s="14">
        <v>0</v>
      </c>
      <c r="J141" s="14">
        <v>0</v>
      </c>
      <c r="K141" s="14">
        <v>0.25</v>
      </c>
      <c r="L141" s="14">
        <v>-0.5</v>
      </c>
      <c r="M141" s="14">
        <v>0.25</v>
      </c>
    </row>
    <row r="142" spans="2:13">
      <c r="C142" s="65" t="s">
        <v>938</v>
      </c>
      <c r="D142" s="65">
        <v>-3</v>
      </c>
      <c r="E142" s="14">
        <v>-0.25</v>
      </c>
      <c r="F142" s="14">
        <v>0</v>
      </c>
      <c r="G142" s="14">
        <v>0.25</v>
      </c>
      <c r="H142" s="14">
        <v>0.5</v>
      </c>
      <c r="I142" s="14">
        <v>0</v>
      </c>
      <c r="J142" s="14">
        <v>-0.5</v>
      </c>
      <c r="K142" s="14">
        <v>-0.25</v>
      </c>
      <c r="L142" s="14">
        <v>0</v>
      </c>
      <c r="M142" s="14">
        <v>0.25</v>
      </c>
    </row>
    <row r="143" spans="2:13">
      <c r="C143" s="65" t="s">
        <v>939</v>
      </c>
      <c r="D143" s="65">
        <v>-3</v>
      </c>
      <c r="E143" s="14">
        <v>0.25</v>
      </c>
      <c r="F143" s="14">
        <v>-0.5</v>
      </c>
      <c r="G143" s="14">
        <v>0.25</v>
      </c>
      <c r="H143" s="14">
        <v>-0.5</v>
      </c>
      <c r="I143" s="14">
        <v>1</v>
      </c>
      <c r="J143" s="14">
        <v>-0.5</v>
      </c>
      <c r="K143" s="14">
        <v>0.25</v>
      </c>
      <c r="L143" s="14">
        <v>-0.5</v>
      </c>
      <c r="M143" s="14">
        <v>0.25</v>
      </c>
    </row>
    <row r="145" spans="2:8">
      <c r="D145" s="14" t="s">
        <v>734</v>
      </c>
      <c r="E145" s="14" t="s">
        <v>1719</v>
      </c>
      <c r="F145" s="14" t="s">
        <v>1720</v>
      </c>
      <c r="G145" s="14" t="s">
        <v>1721</v>
      </c>
    </row>
    <row r="146" spans="2:8">
      <c r="D146" s="14" t="s">
        <v>1722</v>
      </c>
      <c r="E146" s="14">
        <v>0.25</v>
      </c>
      <c r="F146" s="14">
        <v>0.375</v>
      </c>
      <c r="G146" s="14">
        <v>0.5</v>
      </c>
    </row>
    <row r="147" spans="2:8">
      <c r="D147" s="14" t="s">
        <v>1723</v>
      </c>
      <c r="E147" s="14">
        <v>0.5</v>
      </c>
      <c r="F147" s="14">
        <v>0.25</v>
      </c>
      <c r="G147" s="14">
        <v>0</v>
      </c>
    </row>
    <row r="148" spans="2:8">
      <c r="D148" s="14" t="s">
        <v>1724</v>
      </c>
      <c r="E148" s="14">
        <v>0.25</v>
      </c>
      <c r="F148" s="14">
        <v>0.375</v>
      </c>
      <c r="G148" s="14">
        <v>0.5</v>
      </c>
    </row>
    <row r="149" spans="2:8">
      <c r="E149" s="14" t="s">
        <v>1780</v>
      </c>
    </row>
    <row r="150" spans="2:8">
      <c r="B150" s="14" t="s">
        <v>1774</v>
      </c>
      <c r="C150" s="14" t="s">
        <v>1775</v>
      </c>
      <c r="D150" s="14" t="s">
        <v>734</v>
      </c>
      <c r="E150" s="14" t="s">
        <v>1776</v>
      </c>
      <c r="F150" s="14" t="s">
        <v>1777</v>
      </c>
      <c r="G150" s="14" t="s">
        <v>1778</v>
      </c>
    </row>
    <row r="151" spans="2:8">
      <c r="B151" s="14" t="s">
        <v>940</v>
      </c>
      <c r="C151" s="14" t="s">
        <v>941</v>
      </c>
      <c r="D151" s="14">
        <v>13</v>
      </c>
      <c r="E151" s="14">
        <f>E146*E146</f>
        <v>6.25E-2</v>
      </c>
      <c r="F151" s="14">
        <f t="shared" ref="F151:G151" si="80">F146*F146</f>
        <v>0.140625</v>
      </c>
      <c r="G151" s="14">
        <f t="shared" si="80"/>
        <v>0.25</v>
      </c>
    </row>
    <row r="152" spans="2:8">
      <c r="B152" s="14" t="s">
        <v>940</v>
      </c>
      <c r="C152" s="14" t="s">
        <v>942</v>
      </c>
      <c r="D152" s="14">
        <v>13</v>
      </c>
      <c r="E152" s="14">
        <f>E146*E147</f>
        <v>0.125</v>
      </c>
      <c r="F152" s="14">
        <f t="shared" ref="F152:G152" si="81">F146*F147</f>
        <v>9.375E-2</v>
      </c>
      <c r="G152" s="14">
        <f t="shared" si="81"/>
        <v>0</v>
      </c>
    </row>
    <row r="153" spans="2:8">
      <c r="B153" s="14" t="s">
        <v>1768</v>
      </c>
      <c r="C153" s="14" t="s">
        <v>1769</v>
      </c>
      <c r="D153" s="14">
        <v>13</v>
      </c>
      <c r="E153" s="14">
        <f>E146*E148</f>
        <v>6.25E-2</v>
      </c>
      <c r="F153" s="14">
        <f t="shared" ref="F153:G153" si="82">F146*F148</f>
        <v>0.140625</v>
      </c>
      <c r="G153" s="14">
        <f t="shared" si="82"/>
        <v>0.25</v>
      </c>
    </row>
    <row r="154" spans="2:8">
      <c r="B154" s="14" t="s">
        <v>944</v>
      </c>
      <c r="C154" s="14" t="s">
        <v>941</v>
      </c>
      <c r="D154" s="14">
        <v>13</v>
      </c>
      <c r="E154" s="14">
        <f>E147*E146</f>
        <v>0.125</v>
      </c>
      <c r="F154" s="14">
        <f t="shared" ref="F154:G154" si="83">F147*F146</f>
        <v>9.375E-2</v>
      </c>
      <c r="G154" s="14">
        <f t="shared" si="83"/>
        <v>0</v>
      </c>
    </row>
    <row r="155" spans="2:8">
      <c r="B155" s="14" t="s">
        <v>944</v>
      </c>
      <c r="C155" s="14" t="s">
        <v>942</v>
      </c>
      <c r="D155" s="14">
        <v>13</v>
      </c>
      <c r="E155" s="14">
        <f>E147*E147</f>
        <v>0.25</v>
      </c>
      <c r="F155" s="14">
        <f t="shared" ref="F155:G155" si="84">F147*F147</f>
        <v>6.25E-2</v>
      </c>
      <c r="G155" s="14">
        <f t="shared" si="84"/>
        <v>0</v>
      </c>
    </row>
    <row r="156" spans="2:8">
      <c r="B156" s="14" t="s">
        <v>944</v>
      </c>
      <c r="C156" s="14" t="s">
        <v>943</v>
      </c>
      <c r="D156" s="14">
        <v>13</v>
      </c>
      <c r="E156" s="14">
        <f>E147*E148</f>
        <v>0.125</v>
      </c>
      <c r="F156" s="14">
        <f t="shared" ref="F156:G156" si="85">F147*F148</f>
        <v>9.375E-2</v>
      </c>
      <c r="G156" s="14">
        <f t="shared" si="85"/>
        <v>0</v>
      </c>
      <c r="H156" s="14" t="s">
        <v>1779</v>
      </c>
    </row>
    <row r="157" spans="2:8">
      <c r="B157" s="14" t="s">
        <v>936</v>
      </c>
      <c r="C157" s="14" t="s">
        <v>941</v>
      </c>
      <c r="D157" s="14">
        <v>13</v>
      </c>
      <c r="E157" s="14">
        <f>E148*E146</f>
        <v>6.25E-2</v>
      </c>
      <c r="F157" s="14">
        <f t="shared" ref="F157:G157" si="86">F148*F146</f>
        <v>0.140625</v>
      </c>
      <c r="G157" s="14">
        <f t="shared" si="86"/>
        <v>0.25</v>
      </c>
    </row>
    <row r="158" spans="2:8">
      <c r="B158" s="14" t="s">
        <v>936</v>
      </c>
      <c r="C158" s="14" t="s">
        <v>942</v>
      </c>
      <c r="D158" s="14">
        <v>13</v>
      </c>
      <c r="E158" s="14">
        <f>E148*E147</f>
        <v>0.125</v>
      </c>
      <c r="F158" s="14">
        <f t="shared" ref="F158:G158" si="87">F148*F147</f>
        <v>9.375E-2</v>
      </c>
      <c r="G158" s="14">
        <f t="shared" si="87"/>
        <v>0</v>
      </c>
      <c r="H158" s="14" t="s">
        <v>946</v>
      </c>
    </row>
    <row r="159" spans="2:8">
      <c r="B159" s="14" t="s">
        <v>936</v>
      </c>
      <c r="C159" s="14" t="s">
        <v>943</v>
      </c>
      <c r="D159" s="14">
        <v>1</v>
      </c>
      <c r="E159" s="14">
        <f>E148*E148</f>
        <v>6.25E-2</v>
      </c>
      <c r="F159" s="14">
        <f t="shared" ref="F159:G159" si="88">F148*F148</f>
        <v>0.140625</v>
      </c>
      <c r="G159" s="14">
        <f t="shared" si="88"/>
        <v>0.25</v>
      </c>
    </row>
    <row r="160" spans="2:8">
      <c r="B160" s="14" t="s">
        <v>551</v>
      </c>
      <c r="D160" s="67"/>
      <c r="E160" s="67">
        <f>SUMPRODUCT(E151:E159,D151:D159)</f>
        <v>12.25</v>
      </c>
      <c r="F160" s="67">
        <f>SUMPRODUCT(F151:F159,D151:D159)</f>
        <v>11.3125</v>
      </c>
      <c r="G160" s="67">
        <f>SUMPRODUCT(G151:G159,D151:D159)</f>
        <v>10</v>
      </c>
    </row>
    <row r="161" spans="1:7">
      <c r="B161" s="14" t="s">
        <v>471</v>
      </c>
      <c r="D161" s="67"/>
      <c r="E161" s="67">
        <f>SUMPRODUCT(E151:E159,(D151:D159)^2)-E160^2</f>
        <v>8.4375</v>
      </c>
      <c r="F161" s="67">
        <f>SUMPRODUCT(F151:F159,(D151:D159)^2)-F160^2</f>
        <v>17.40234375</v>
      </c>
      <c r="G161" s="67">
        <f>SUMPRODUCT(G151:G159,(D151:D159)^2)-G160^2</f>
        <v>27</v>
      </c>
    </row>
    <row r="162" spans="1:7">
      <c r="D162" s="67"/>
      <c r="E162" s="77" t="s">
        <v>947</v>
      </c>
      <c r="F162" s="77" t="s">
        <v>948</v>
      </c>
      <c r="G162" s="77" t="s">
        <v>528</v>
      </c>
    </row>
    <row r="164" spans="1:7">
      <c r="A164" s="65" t="s">
        <v>1725</v>
      </c>
      <c r="B164" s="14" t="s">
        <v>1741</v>
      </c>
      <c r="C164" s="14" t="s">
        <v>941</v>
      </c>
      <c r="D164" s="14" t="s">
        <v>942</v>
      </c>
      <c r="E164" s="14" t="s">
        <v>943</v>
      </c>
      <c r="F164" s="14" t="s">
        <v>1742</v>
      </c>
    </row>
    <row r="165" spans="1:7">
      <c r="B165" s="14" t="s">
        <v>1770</v>
      </c>
      <c r="C165" s="14">
        <f t="shared" ref="C165:E167" si="89">$F165*C$168</f>
        <v>6.25E-2</v>
      </c>
      <c r="D165" s="14">
        <f t="shared" si="89"/>
        <v>0.125</v>
      </c>
      <c r="E165" s="14">
        <f t="shared" si="89"/>
        <v>6.25E-2</v>
      </c>
      <c r="F165" s="14">
        <v>0.25</v>
      </c>
    </row>
    <row r="166" spans="1:7">
      <c r="B166" s="14" t="s">
        <v>1771</v>
      </c>
      <c r="C166" s="14">
        <f t="shared" si="89"/>
        <v>0.125</v>
      </c>
      <c r="D166" s="14">
        <f t="shared" si="89"/>
        <v>0.25</v>
      </c>
      <c r="E166" s="14">
        <f t="shared" si="89"/>
        <v>0.125</v>
      </c>
      <c r="F166" s="14">
        <v>0.5</v>
      </c>
    </row>
    <row r="167" spans="1:7">
      <c r="B167" s="14" t="s">
        <v>1772</v>
      </c>
      <c r="C167" s="14">
        <f t="shared" si="89"/>
        <v>6.25E-2</v>
      </c>
      <c r="D167" s="14">
        <f t="shared" si="89"/>
        <v>0.125</v>
      </c>
      <c r="E167" s="14">
        <f t="shared" si="89"/>
        <v>6.25E-2</v>
      </c>
      <c r="F167" s="14">
        <v>0.25</v>
      </c>
    </row>
    <row r="168" spans="1:7">
      <c r="B168" s="14" t="s">
        <v>1773</v>
      </c>
      <c r="C168" s="14">
        <v>0.25</v>
      </c>
      <c r="D168" s="14">
        <v>0.5</v>
      </c>
      <c r="E168" s="14">
        <v>0.25</v>
      </c>
    </row>
    <row r="170" spans="1:7">
      <c r="B170" s="14" t="s">
        <v>734</v>
      </c>
      <c r="C170" s="14" t="s">
        <v>941</v>
      </c>
      <c r="D170" s="14" t="s">
        <v>942</v>
      </c>
      <c r="E170" s="14" t="s">
        <v>943</v>
      </c>
      <c r="F170" s="14" t="s">
        <v>1781</v>
      </c>
      <c r="G170" s="14" t="s">
        <v>1782</v>
      </c>
    </row>
    <row r="171" spans="1:7">
      <c r="B171" s="14" t="s">
        <v>370</v>
      </c>
      <c r="C171" s="14">
        <v>3</v>
      </c>
      <c r="D171" s="14">
        <v>3</v>
      </c>
      <c r="E171" s="14">
        <v>2</v>
      </c>
      <c r="F171" s="14">
        <f>SUMPRODUCT(C168:E168,C172:E172)</f>
        <v>2.75</v>
      </c>
      <c r="G171" s="14">
        <f>F171-$F$174</f>
        <v>0.4375</v>
      </c>
    </row>
    <row r="172" spans="1:7">
      <c r="B172" s="14" t="s">
        <v>371</v>
      </c>
      <c r="C172" s="14">
        <v>3</v>
      </c>
      <c r="D172" s="14">
        <v>3</v>
      </c>
      <c r="E172" s="14">
        <v>2</v>
      </c>
      <c r="F172" s="14">
        <f>SUMPRODUCT(C168:E168,C172:E172)</f>
        <v>2.75</v>
      </c>
      <c r="G172" s="14">
        <f>F172-$F$174</f>
        <v>0.4375</v>
      </c>
    </row>
    <row r="173" spans="1:7">
      <c r="B173" s="14" t="s">
        <v>372</v>
      </c>
      <c r="C173" s="14">
        <v>1</v>
      </c>
      <c r="D173" s="14">
        <v>1</v>
      </c>
      <c r="E173" s="14">
        <v>1</v>
      </c>
      <c r="F173" s="14">
        <f>SUMPRODUCT(C168:E168,C173:E173)</f>
        <v>1</v>
      </c>
      <c r="G173" s="14">
        <f>F173-$F$174</f>
        <v>-1.3125</v>
      </c>
    </row>
    <row r="174" spans="1:7">
      <c r="B174" s="14" t="s">
        <v>1783</v>
      </c>
      <c r="C174" s="14">
        <f>SUMPRODUCT(F165:F167,C171:C173)</f>
        <v>2.5</v>
      </c>
      <c r="D174" s="14">
        <f>SUMPRODUCT(F165:F167,D171:D173)</f>
        <v>2.5</v>
      </c>
      <c r="E174" s="14">
        <f>SUMPRODUCT(F165:F167,E171:E173)</f>
        <v>1.75</v>
      </c>
      <c r="F174" s="14">
        <f>SUMPRODUCT(C165:E167,C171:E173)</f>
        <v>2.3125</v>
      </c>
    </row>
    <row r="175" spans="1:7">
      <c r="B175" s="14" t="s">
        <v>1784</v>
      </c>
      <c r="C175" s="14">
        <f>C174-$F$174</f>
        <v>0.1875</v>
      </c>
      <c r="D175" s="14">
        <f>D174-$F$174</f>
        <v>0.1875</v>
      </c>
      <c r="E175" s="14">
        <f>E174-$F$174</f>
        <v>-0.5625</v>
      </c>
    </row>
    <row r="177" spans="2:10">
      <c r="B177" s="14" t="s">
        <v>1785</v>
      </c>
      <c r="C177" s="14" t="s">
        <v>941</v>
      </c>
      <c r="D177" s="14" t="s">
        <v>942</v>
      </c>
      <c r="E177" s="14" t="s">
        <v>943</v>
      </c>
      <c r="F177" s="14" t="s">
        <v>1726</v>
      </c>
      <c r="G177" s="14" t="s">
        <v>1727</v>
      </c>
      <c r="H177" s="14" t="s">
        <v>1728</v>
      </c>
      <c r="I177" s="14" t="s">
        <v>1729</v>
      </c>
      <c r="J177" s="14" t="s">
        <v>1730</v>
      </c>
    </row>
    <row r="178" spans="2:10">
      <c r="B178" s="14" t="s">
        <v>370</v>
      </c>
      <c r="C178" s="14">
        <f t="shared" ref="C178:E180" si="90">C171-$F$174-$G171-C$175</f>
        <v>6.25E-2</v>
      </c>
      <c r="D178" s="14">
        <f t="shared" si="90"/>
        <v>6.25E-2</v>
      </c>
      <c r="E178" s="14">
        <f t="shared" si="90"/>
        <v>-0.1875</v>
      </c>
      <c r="F178" s="14">
        <f>SUMPRODUCT(C165:E167,(C171:E173)^2)-F174^2</f>
        <v>0.71484375</v>
      </c>
      <c r="G178" s="14">
        <f>SUMPRODUCT(F165:F167,(G171:G173)^2)</f>
        <v>0.57421875</v>
      </c>
      <c r="H178" s="14">
        <f>SUMPRODUCT(C168:E168,(C175:E175)^2)</f>
        <v>0.10546875</v>
      </c>
      <c r="I178" s="14">
        <f>SUMPRODUCT(C165:E167,(C178:E180)^2)</f>
        <v>3.515625E-2</v>
      </c>
      <c r="J178" s="14">
        <f>I178/(G178+H178+I178)</f>
        <v>4.9180327868852458E-2</v>
      </c>
    </row>
    <row r="179" spans="2:10">
      <c r="B179" s="14" t="s">
        <v>371</v>
      </c>
      <c r="C179" s="14">
        <f t="shared" si="90"/>
        <v>6.25E-2</v>
      </c>
      <c r="D179" s="14">
        <f t="shared" si="90"/>
        <v>6.25E-2</v>
      </c>
      <c r="E179" s="14">
        <f t="shared" si="90"/>
        <v>-0.1875</v>
      </c>
      <c r="F179" s="14">
        <f>SUM(G178:I178)</f>
        <v>0.71484375</v>
      </c>
    </row>
    <row r="180" spans="2:10">
      <c r="B180" s="14" t="s">
        <v>372</v>
      </c>
      <c r="C180" s="14">
        <f t="shared" si="90"/>
        <v>-0.1875</v>
      </c>
      <c r="D180" s="14">
        <f t="shared" si="90"/>
        <v>-0.1875</v>
      </c>
      <c r="E180" s="14">
        <f t="shared" si="90"/>
        <v>0.5625</v>
      </c>
    </row>
  </sheetData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3"/>
  <sheetViews>
    <sheetView topLeftCell="A135" workbookViewId="0">
      <selection activeCell="J140" sqref="J140"/>
    </sheetView>
  </sheetViews>
  <sheetFormatPr defaultRowHeight="14.4"/>
  <cols>
    <col min="4" max="4" width="9.5546875" bestFit="1" customWidth="1"/>
    <col min="5" max="5" width="9" bestFit="1" customWidth="1"/>
    <col min="6" max="6" width="8.6640625" customWidth="1"/>
    <col min="7" max="7" width="9" bestFit="1" customWidth="1"/>
  </cols>
  <sheetData>
    <row r="1" spans="1:15">
      <c r="A1" s="11" t="s">
        <v>949</v>
      </c>
      <c r="C1" t="s">
        <v>1787</v>
      </c>
      <c r="H1" t="s">
        <v>955</v>
      </c>
    </row>
    <row r="2" spans="1:15">
      <c r="A2" s="11"/>
      <c r="B2" t="s">
        <v>1792</v>
      </c>
      <c r="C2" t="s">
        <v>950</v>
      </c>
      <c r="D2" t="s">
        <v>951</v>
      </c>
      <c r="E2" t="s">
        <v>952</v>
      </c>
      <c r="F2" t="s">
        <v>953</v>
      </c>
      <c r="G2" t="s">
        <v>954</v>
      </c>
      <c r="H2" t="s">
        <v>950</v>
      </c>
      <c r="I2" t="s">
        <v>951</v>
      </c>
      <c r="J2" t="s">
        <v>952</v>
      </c>
    </row>
    <row r="3" spans="1:15">
      <c r="B3" t="s">
        <v>959</v>
      </c>
      <c r="C3">
        <v>13</v>
      </c>
      <c r="D3">
        <v>14</v>
      </c>
      <c r="E3">
        <v>15</v>
      </c>
      <c r="F3">
        <f>AVERAGE(C3:E3)</f>
        <v>14</v>
      </c>
      <c r="G3">
        <f>$F3-$F$7</f>
        <v>-4.5</v>
      </c>
      <c r="H3">
        <f t="shared" ref="H3:J6" si="0">C3-$F$7-$G3-C$8</f>
        <v>1.75</v>
      </c>
      <c r="I3">
        <f t="shared" si="0"/>
        <v>-1</v>
      </c>
      <c r="J3">
        <f t="shared" si="0"/>
        <v>-0.75</v>
      </c>
    </row>
    <row r="4" spans="1:15">
      <c r="B4" t="s">
        <v>960</v>
      </c>
      <c r="C4">
        <v>18</v>
      </c>
      <c r="D4">
        <v>19</v>
      </c>
      <c r="E4">
        <v>26</v>
      </c>
      <c r="F4">
        <f t="shared" ref="F4:F6" si="1">AVERAGE(C4:E4)</f>
        <v>21</v>
      </c>
      <c r="G4">
        <f t="shared" ref="G4:G6" si="2">$F4-$F$7</f>
        <v>2.5</v>
      </c>
      <c r="H4">
        <f t="shared" si="0"/>
        <v>-0.25</v>
      </c>
      <c r="I4">
        <f t="shared" si="0"/>
        <v>-3</v>
      </c>
      <c r="J4">
        <f t="shared" si="0"/>
        <v>3.25</v>
      </c>
    </row>
    <row r="5" spans="1:15">
      <c r="B5" t="s">
        <v>961</v>
      </c>
      <c r="C5">
        <v>17</v>
      </c>
      <c r="D5">
        <v>21</v>
      </c>
      <c r="E5">
        <v>13</v>
      </c>
      <c r="F5">
        <f t="shared" si="1"/>
        <v>17</v>
      </c>
      <c r="G5">
        <f t="shared" si="2"/>
        <v>-1.5</v>
      </c>
      <c r="H5">
        <f t="shared" si="0"/>
        <v>2.75</v>
      </c>
      <c r="I5">
        <f t="shared" si="0"/>
        <v>3</v>
      </c>
      <c r="J5">
        <f t="shared" si="0"/>
        <v>-5.75</v>
      </c>
    </row>
    <row r="6" spans="1:15">
      <c r="B6" t="s">
        <v>962</v>
      </c>
      <c r="C6">
        <v>15</v>
      </c>
      <c r="D6">
        <v>24</v>
      </c>
      <c r="E6">
        <v>27</v>
      </c>
      <c r="F6">
        <f t="shared" si="1"/>
        <v>22</v>
      </c>
      <c r="G6">
        <f t="shared" si="2"/>
        <v>3.5</v>
      </c>
      <c r="H6">
        <f t="shared" si="0"/>
        <v>-4.25</v>
      </c>
      <c r="I6">
        <f t="shared" si="0"/>
        <v>1</v>
      </c>
      <c r="J6">
        <f t="shared" si="0"/>
        <v>3.25</v>
      </c>
    </row>
    <row r="7" spans="1:15">
      <c r="B7" t="s">
        <v>963</v>
      </c>
      <c r="C7">
        <f>AVERAGE(C3:C6)</f>
        <v>15.75</v>
      </c>
      <c r="D7">
        <f t="shared" ref="D7:E7" si="3">AVERAGE(D3:D6)</f>
        <v>19.5</v>
      </c>
      <c r="E7">
        <f t="shared" si="3"/>
        <v>20.25</v>
      </c>
      <c r="F7">
        <f>AVERAGE(C7:E7)</f>
        <v>18.5</v>
      </c>
    </row>
    <row r="8" spans="1:15">
      <c r="B8" t="s">
        <v>964</v>
      </c>
      <c r="C8">
        <f>C$7-$F$7</f>
        <v>-2.75</v>
      </c>
      <c r="D8">
        <f t="shared" ref="D8:E8" si="4">D$7-$F$7</f>
        <v>1</v>
      </c>
      <c r="E8">
        <f t="shared" si="4"/>
        <v>1.75</v>
      </c>
    </row>
    <row r="10" spans="1:15">
      <c r="B10" t="s">
        <v>1793</v>
      </c>
      <c r="C10" t="s">
        <v>1791</v>
      </c>
      <c r="D10" t="s">
        <v>965</v>
      </c>
    </row>
    <row r="11" spans="1:15">
      <c r="B11" t="s">
        <v>1629</v>
      </c>
      <c r="C11" s="39">
        <f>_xlfn.VAR.S(F3:F6)</f>
        <v>13.666666666666666</v>
      </c>
      <c r="D11" s="39">
        <f>$C11/$C$14*100</f>
        <v>47.308726152232353</v>
      </c>
      <c r="G11" t="s">
        <v>1786</v>
      </c>
    </row>
    <row r="12" spans="1:15">
      <c r="B12" t="s">
        <v>1789</v>
      </c>
      <c r="C12" s="39">
        <f>_xlfn.VAR.S(C7:E7)</f>
        <v>5.8125</v>
      </c>
      <c r="D12" s="39">
        <f t="shared" ref="D12" si="5">$C12/$C$14*100</f>
        <v>20.120632006818333</v>
      </c>
    </row>
    <row r="13" spans="1:15">
      <c r="B13" t="s">
        <v>1788</v>
      </c>
      <c r="C13" s="39">
        <f>_xlfn.VAR.S(H3:J6)</f>
        <v>9.4090909090909083</v>
      </c>
      <c r="D13" s="39">
        <f>$C13/$C$14*100</f>
        <v>32.570641840949321</v>
      </c>
    </row>
    <row r="14" spans="1:15">
      <c r="B14" t="s">
        <v>1790</v>
      </c>
      <c r="C14" s="39">
        <f>SUM(C11:C13)</f>
        <v>28.888257575757571</v>
      </c>
      <c r="D14" s="39"/>
    </row>
    <row r="16" spans="1:15">
      <c r="A16" s="11" t="s">
        <v>966</v>
      </c>
      <c r="C16" t="s">
        <v>967</v>
      </c>
      <c r="F16" t="s">
        <v>968</v>
      </c>
      <c r="K16" t="s">
        <v>1795</v>
      </c>
      <c r="O16" s="59" t="s">
        <v>976</v>
      </c>
    </row>
    <row r="17" spans="2:19">
      <c r="B17" t="s">
        <v>969</v>
      </c>
      <c r="C17" t="s">
        <v>970</v>
      </c>
      <c r="D17" t="s">
        <v>971</v>
      </c>
      <c r="E17" t="s">
        <v>972</v>
      </c>
      <c r="F17" t="s">
        <v>970</v>
      </c>
      <c r="G17" t="s">
        <v>971</v>
      </c>
      <c r="H17" t="s">
        <v>972</v>
      </c>
      <c r="J17" s="59" t="s">
        <v>1796</v>
      </c>
      <c r="K17" s="59" t="s">
        <v>967</v>
      </c>
      <c r="L17" s="59" t="s">
        <v>968</v>
      </c>
      <c r="M17" s="59" t="s">
        <v>974</v>
      </c>
      <c r="N17" s="59" t="s">
        <v>975</v>
      </c>
      <c r="O17" t="s">
        <v>967</v>
      </c>
      <c r="P17" t="s">
        <v>968</v>
      </c>
    </row>
    <row r="18" spans="2:19">
      <c r="B18" t="s">
        <v>977</v>
      </c>
      <c r="C18">
        <v>101</v>
      </c>
      <c r="D18">
        <v>90</v>
      </c>
      <c r="E18">
        <v>91</v>
      </c>
      <c r="F18">
        <v>89</v>
      </c>
      <c r="G18">
        <v>89</v>
      </c>
      <c r="H18">
        <v>93</v>
      </c>
      <c r="J18" s="59" t="s">
        <v>977</v>
      </c>
      <c r="K18" s="79">
        <f>AVERAGE(C18:E18)</f>
        <v>94</v>
      </c>
      <c r="L18" s="79">
        <f>AVERAGE(F18:H18)</f>
        <v>90.333333333333329</v>
      </c>
      <c r="M18" s="79">
        <f>AVERAGE(K18:L18)</f>
        <v>92.166666666666657</v>
      </c>
      <c r="N18" s="79">
        <f>M18-$M$38</f>
        <v>4.8833333333333258</v>
      </c>
      <c r="O18" s="39">
        <f t="shared" ref="O18:O37" si="6">K18-$M$38-$N18-K$39</f>
        <v>1.11666666666666</v>
      </c>
      <c r="P18" s="39">
        <f t="shared" ref="P18:P37" si="7">L18-$M$38-$N18-L$39</f>
        <v>-1.11666666666666</v>
      </c>
    </row>
    <row r="19" spans="2:19">
      <c r="B19" t="s">
        <v>978</v>
      </c>
      <c r="C19">
        <v>82</v>
      </c>
      <c r="D19">
        <v>85</v>
      </c>
      <c r="E19">
        <v>87</v>
      </c>
      <c r="F19">
        <v>84</v>
      </c>
      <c r="G19">
        <v>84</v>
      </c>
      <c r="H19">
        <v>83</v>
      </c>
      <c r="J19" s="59" t="s">
        <v>978</v>
      </c>
      <c r="K19" s="79">
        <f t="shared" ref="K19:K37" si="8">AVERAGE(C19:E19)</f>
        <v>84.666666666666671</v>
      </c>
      <c r="L19" s="79">
        <f t="shared" ref="L19:L37" si="9">AVERAGE(F19:H19)</f>
        <v>83.666666666666671</v>
      </c>
      <c r="M19" s="79">
        <f t="shared" ref="M19:M37" si="10">AVERAGE(K19:L19)</f>
        <v>84.166666666666671</v>
      </c>
      <c r="N19" s="79">
        <f t="shared" ref="N19:N37" si="11">M19-$M$38</f>
        <v>-3.11666666666666</v>
      </c>
      <c r="O19" s="39">
        <f t="shared" si="6"/>
        <v>-0.21666666666668277</v>
      </c>
      <c r="P19" s="39">
        <f t="shared" si="7"/>
        <v>0.21666666666666856</v>
      </c>
    </row>
    <row r="20" spans="2:19">
      <c r="B20" t="s">
        <v>979</v>
      </c>
      <c r="C20">
        <v>86</v>
      </c>
      <c r="D20">
        <v>85</v>
      </c>
      <c r="E20">
        <v>83</v>
      </c>
      <c r="F20">
        <v>80</v>
      </c>
      <c r="G20">
        <v>84</v>
      </c>
      <c r="H20">
        <v>88</v>
      </c>
      <c r="J20" s="59" t="s">
        <v>979</v>
      </c>
      <c r="K20" s="79">
        <f t="shared" si="8"/>
        <v>84.666666666666671</v>
      </c>
      <c r="L20" s="79">
        <f t="shared" si="9"/>
        <v>84</v>
      </c>
      <c r="M20" s="79">
        <f t="shared" si="10"/>
        <v>84.333333333333343</v>
      </c>
      <c r="N20" s="79">
        <f t="shared" si="11"/>
        <v>-2.9499999999999886</v>
      </c>
      <c r="O20" s="39">
        <f t="shared" si="6"/>
        <v>-0.38333333333335418</v>
      </c>
      <c r="P20" s="39">
        <f t="shared" si="7"/>
        <v>0.38333333333332575</v>
      </c>
    </row>
    <row r="21" spans="2:19">
      <c r="B21" t="s">
        <v>980</v>
      </c>
      <c r="C21">
        <v>85</v>
      </c>
      <c r="D21">
        <v>85</v>
      </c>
      <c r="E21">
        <v>87</v>
      </c>
      <c r="F21">
        <v>83</v>
      </c>
      <c r="G21">
        <v>84</v>
      </c>
      <c r="H21">
        <v>83</v>
      </c>
      <c r="J21" s="59" t="s">
        <v>980</v>
      </c>
      <c r="K21" s="79">
        <f t="shared" si="8"/>
        <v>85.666666666666671</v>
      </c>
      <c r="L21" s="79">
        <f t="shared" si="9"/>
        <v>83.333333333333329</v>
      </c>
      <c r="M21" s="79">
        <f t="shared" si="10"/>
        <v>84.5</v>
      </c>
      <c r="N21" s="79">
        <f t="shared" si="11"/>
        <v>-2.7833333333333314</v>
      </c>
      <c r="O21" s="39">
        <f t="shared" si="6"/>
        <v>0.44999999999998863</v>
      </c>
      <c r="P21" s="39">
        <f t="shared" si="7"/>
        <v>-0.45000000000000284</v>
      </c>
    </row>
    <row r="22" spans="2:19">
      <c r="B22" t="s">
        <v>981</v>
      </c>
      <c r="C22">
        <v>80</v>
      </c>
      <c r="D22">
        <v>82</v>
      </c>
      <c r="E22">
        <v>81</v>
      </c>
      <c r="F22">
        <v>81</v>
      </c>
      <c r="G22">
        <v>82</v>
      </c>
      <c r="H22">
        <v>83</v>
      </c>
      <c r="J22" s="59" t="s">
        <v>981</v>
      </c>
      <c r="K22" s="79">
        <f t="shared" si="8"/>
        <v>81</v>
      </c>
      <c r="L22" s="79">
        <f t="shared" si="9"/>
        <v>82</v>
      </c>
      <c r="M22" s="79">
        <f t="shared" si="10"/>
        <v>81.5</v>
      </c>
      <c r="N22" s="79">
        <f t="shared" si="11"/>
        <v>-5.7833333333333314</v>
      </c>
      <c r="O22" s="39">
        <f t="shared" si="6"/>
        <v>-1.2166666666666828</v>
      </c>
      <c r="P22" s="39">
        <f t="shared" si="7"/>
        <v>1.2166666666666686</v>
      </c>
    </row>
    <row r="23" spans="2:19">
      <c r="B23" t="s">
        <v>982</v>
      </c>
      <c r="C23">
        <v>95</v>
      </c>
      <c r="D23">
        <v>98</v>
      </c>
      <c r="E23">
        <v>95</v>
      </c>
      <c r="F23">
        <v>89</v>
      </c>
      <c r="G23">
        <v>94</v>
      </c>
      <c r="H23">
        <v>95</v>
      </c>
      <c r="J23" s="59" t="s">
        <v>982</v>
      </c>
      <c r="K23" s="79">
        <f t="shared" si="8"/>
        <v>96</v>
      </c>
      <c r="L23" s="79">
        <f t="shared" si="9"/>
        <v>92.666666666666671</v>
      </c>
      <c r="M23" s="79">
        <f t="shared" si="10"/>
        <v>94.333333333333343</v>
      </c>
      <c r="N23" s="79">
        <f t="shared" si="11"/>
        <v>7.0500000000000114</v>
      </c>
      <c r="O23" s="39">
        <f t="shared" si="6"/>
        <v>0.94999999999997442</v>
      </c>
      <c r="P23" s="39">
        <f t="shared" si="7"/>
        <v>-0.95000000000000284</v>
      </c>
    </row>
    <row r="24" spans="2:19">
      <c r="B24" t="s">
        <v>983</v>
      </c>
      <c r="C24">
        <v>84</v>
      </c>
      <c r="D24">
        <v>85</v>
      </c>
      <c r="E24">
        <v>85</v>
      </c>
      <c r="F24">
        <v>81</v>
      </c>
      <c r="G24">
        <v>84</v>
      </c>
      <c r="H24">
        <v>85</v>
      </c>
      <c r="J24" s="59" t="s">
        <v>983</v>
      </c>
      <c r="K24" s="79">
        <f t="shared" si="8"/>
        <v>84.666666666666671</v>
      </c>
      <c r="L24" s="79">
        <f t="shared" si="9"/>
        <v>83.333333333333329</v>
      </c>
      <c r="M24" s="79">
        <f t="shared" si="10"/>
        <v>84</v>
      </c>
      <c r="N24" s="79">
        <f t="shared" si="11"/>
        <v>-3.2833333333333314</v>
      </c>
      <c r="O24" s="39">
        <f t="shared" si="6"/>
        <v>-5.0000000000011369E-2</v>
      </c>
      <c r="P24" s="39">
        <f t="shared" si="7"/>
        <v>4.9999999999997158E-2</v>
      </c>
    </row>
    <row r="25" spans="2:19">
      <c r="B25" t="s">
        <v>984</v>
      </c>
      <c r="C25">
        <v>86</v>
      </c>
      <c r="D25">
        <v>85</v>
      </c>
      <c r="E25">
        <v>87</v>
      </c>
      <c r="F25">
        <v>84</v>
      </c>
      <c r="G25">
        <v>85</v>
      </c>
      <c r="H25">
        <v>83</v>
      </c>
      <c r="J25" s="59" t="s">
        <v>984</v>
      </c>
      <c r="K25" s="79">
        <f t="shared" si="8"/>
        <v>86</v>
      </c>
      <c r="L25" s="79">
        <f t="shared" si="9"/>
        <v>84</v>
      </c>
      <c r="M25" s="79">
        <f t="shared" si="10"/>
        <v>85</v>
      </c>
      <c r="N25" s="79">
        <f t="shared" si="11"/>
        <v>-2.2833333333333314</v>
      </c>
      <c r="O25" s="39">
        <f t="shared" si="6"/>
        <v>0.28333333333331723</v>
      </c>
      <c r="P25" s="39">
        <f t="shared" si="7"/>
        <v>-0.28333333333333144</v>
      </c>
      <c r="S25" t="s">
        <v>1794</v>
      </c>
    </row>
    <row r="26" spans="2:19">
      <c r="B26" t="s">
        <v>985</v>
      </c>
      <c r="C26">
        <v>87</v>
      </c>
      <c r="D26">
        <v>89</v>
      </c>
      <c r="E26">
        <v>91</v>
      </c>
      <c r="F26">
        <v>85</v>
      </c>
      <c r="G26">
        <v>88</v>
      </c>
      <c r="H26">
        <v>87</v>
      </c>
      <c r="J26" s="59" t="s">
        <v>985</v>
      </c>
      <c r="K26" s="79">
        <f t="shared" si="8"/>
        <v>89</v>
      </c>
      <c r="L26" s="79">
        <f t="shared" si="9"/>
        <v>86.666666666666671</v>
      </c>
      <c r="M26" s="79">
        <f t="shared" si="10"/>
        <v>87.833333333333343</v>
      </c>
      <c r="N26" s="79">
        <f t="shared" si="11"/>
        <v>0.55000000000001137</v>
      </c>
      <c r="O26" s="39">
        <f t="shared" si="6"/>
        <v>0.44999999999997442</v>
      </c>
      <c r="P26" s="39">
        <f t="shared" si="7"/>
        <v>-0.45000000000000284</v>
      </c>
    </row>
    <row r="27" spans="2:19">
      <c r="B27" t="s">
        <v>689</v>
      </c>
      <c r="C27">
        <v>84</v>
      </c>
      <c r="D27">
        <v>85</v>
      </c>
      <c r="E27">
        <v>89</v>
      </c>
      <c r="F27">
        <v>82</v>
      </c>
      <c r="G27">
        <v>85</v>
      </c>
      <c r="H27">
        <v>85</v>
      </c>
      <c r="J27" s="59" t="s">
        <v>689</v>
      </c>
      <c r="K27" s="79">
        <f t="shared" si="8"/>
        <v>86</v>
      </c>
      <c r="L27" s="79">
        <f t="shared" si="9"/>
        <v>84</v>
      </c>
      <c r="M27" s="79">
        <f t="shared" si="10"/>
        <v>85</v>
      </c>
      <c r="N27" s="79">
        <f t="shared" si="11"/>
        <v>-2.2833333333333314</v>
      </c>
      <c r="O27" s="39">
        <f t="shared" si="6"/>
        <v>0.28333333333331723</v>
      </c>
      <c r="P27" s="39">
        <f t="shared" si="7"/>
        <v>-0.28333333333333144</v>
      </c>
    </row>
    <row r="28" spans="2:19">
      <c r="B28" t="s">
        <v>690</v>
      </c>
      <c r="C28">
        <v>82</v>
      </c>
      <c r="D28">
        <v>85</v>
      </c>
      <c r="E28">
        <v>83</v>
      </c>
      <c r="F28">
        <v>81</v>
      </c>
      <c r="G28">
        <v>85</v>
      </c>
      <c r="H28">
        <v>82</v>
      </c>
      <c r="J28" s="59" t="s">
        <v>690</v>
      </c>
      <c r="K28" s="79">
        <f t="shared" si="8"/>
        <v>83.333333333333329</v>
      </c>
      <c r="L28" s="79">
        <f t="shared" si="9"/>
        <v>82.666666666666671</v>
      </c>
      <c r="M28" s="79">
        <f t="shared" si="10"/>
        <v>83</v>
      </c>
      <c r="N28" s="79">
        <f t="shared" si="11"/>
        <v>-4.2833333333333314</v>
      </c>
      <c r="O28" s="39">
        <f t="shared" si="6"/>
        <v>-0.38333333333335418</v>
      </c>
      <c r="P28" s="39">
        <f t="shared" si="7"/>
        <v>0.38333333333333997</v>
      </c>
    </row>
    <row r="29" spans="2:19">
      <c r="B29" t="s">
        <v>691</v>
      </c>
      <c r="C29">
        <v>83</v>
      </c>
      <c r="D29">
        <v>85</v>
      </c>
      <c r="E29">
        <v>87</v>
      </c>
      <c r="F29">
        <v>83</v>
      </c>
      <c r="G29">
        <v>87</v>
      </c>
      <c r="H29">
        <v>83</v>
      </c>
      <c r="J29" s="59" t="s">
        <v>691</v>
      </c>
      <c r="K29" s="79">
        <f t="shared" si="8"/>
        <v>85</v>
      </c>
      <c r="L29" s="79">
        <f t="shared" si="9"/>
        <v>84.333333333333329</v>
      </c>
      <c r="M29" s="79">
        <f t="shared" si="10"/>
        <v>84.666666666666657</v>
      </c>
      <c r="N29" s="79">
        <f t="shared" si="11"/>
        <v>-2.6166666666666742</v>
      </c>
      <c r="O29" s="39">
        <f t="shared" si="6"/>
        <v>-0.38333333333333997</v>
      </c>
      <c r="P29" s="39">
        <f t="shared" si="7"/>
        <v>0.38333333333333997</v>
      </c>
    </row>
    <row r="30" spans="2:19">
      <c r="B30" t="s">
        <v>692</v>
      </c>
      <c r="C30">
        <v>89</v>
      </c>
      <c r="D30">
        <v>87</v>
      </c>
      <c r="E30">
        <v>94</v>
      </c>
      <c r="F30">
        <v>89</v>
      </c>
      <c r="G30">
        <v>92</v>
      </c>
      <c r="H30">
        <v>88</v>
      </c>
      <c r="J30" s="59" t="s">
        <v>692</v>
      </c>
      <c r="K30" s="79">
        <f t="shared" si="8"/>
        <v>90</v>
      </c>
      <c r="L30" s="79">
        <f t="shared" si="9"/>
        <v>89.666666666666671</v>
      </c>
      <c r="M30" s="79">
        <f t="shared" si="10"/>
        <v>89.833333333333343</v>
      </c>
      <c r="N30" s="79">
        <f t="shared" si="11"/>
        <v>2.5500000000000114</v>
      </c>
      <c r="O30" s="39">
        <f t="shared" si="6"/>
        <v>-0.55000000000002558</v>
      </c>
      <c r="P30" s="39">
        <f t="shared" si="7"/>
        <v>0.54999999999999716</v>
      </c>
    </row>
    <row r="31" spans="2:19">
      <c r="B31" t="s">
        <v>693</v>
      </c>
      <c r="C31">
        <v>90</v>
      </c>
      <c r="D31">
        <v>92</v>
      </c>
      <c r="E31">
        <v>93</v>
      </c>
      <c r="F31">
        <v>89</v>
      </c>
      <c r="G31">
        <v>91</v>
      </c>
      <c r="H31">
        <v>90</v>
      </c>
      <c r="J31" s="59" t="s">
        <v>693</v>
      </c>
      <c r="K31" s="79">
        <f t="shared" si="8"/>
        <v>91.666666666666671</v>
      </c>
      <c r="L31" s="79">
        <f t="shared" si="9"/>
        <v>90</v>
      </c>
      <c r="M31" s="79">
        <f t="shared" si="10"/>
        <v>90.833333333333343</v>
      </c>
      <c r="N31" s="79">
        <f t="shared" si="11"/>
        <v>3.5500000000000114</v>
      </c>
      <c r="O31" s="39">
        <f t="shared" si="6"/>
        <v>0.11666666666664582</v>
      </c>
      <c r="P31" s="39">
        <f t="shared" si="7"/>
        <v>-0.11666666666667425</v>
      </c>
    </row>
    <row r="32" spans="2:19">
      <c r="B32" t="s">
        <v>694</v>
      </c>
      <c r="C32">
        <v>95</v>
      </c>
      <c r="D32">
        <v>89</v>
      </c>
      <c r="E32">
        <v>95</v>
      </c>
      <c r="F32">
        <v>89</v>
      </c>
      <c r="G32">
        <v>90</v>
      </c>
      <c r="H32">
        <v>91</v>
      </c>
      <c r="J32" s="59" t="s">
        <v>694</v>
      </c>
      <c r="K32" s="79">
        <f t="shared" si="8"/>
        <v>93</v>
      </c>
      <c r="L32" s="79">
        <f t="shared" si="9"/>
        <v>90</v>
      </c>
      <c r="M32" s="79">
        <f t="shared" si="10"/>
        <v>91.5</v>
      </c>
      <c r="N32" s="79">
        <f t="shared" si="11"/>
        <v>4.2166666666666686</v>
      </c>
      <c r="O32" s="39">
        <f t="shared" si="6"/>
        <v>0.78333333333331723</v>
      </c>
      <c r="P32" s="39">
        <f t="shared" si="7"/>
        <v>-0.78333333333333144</v>
      </c>
    </row>
    <row r="33" spans="1:16">
      <c r="B33" t="s">
        <v>695</v>
      </c>
      <c r="C33">
        <v>82</v>
      </c>
      <c r="D33">
        <v>85</v>
      </c>
      <c r="E33">
        <v>87</v>
      </c>
      <c r="F33">
        <v>84</v>
      </c>
      <c r="G33">
        <v>85</v>
      </c>
      <c r="H33">
        <v>87</v>
      </c>
      <c r="J33" s="59" t="s">
        <v>695</v>
      </c>
      <c r="K33" s="79">
        <f t="shared" si="8"/>
        <v>84.666666666666671</v>
      </c>
      <c r="L33" s="79">
        <f t="shared" si="9"/>
        <v>85.333333333333329</v>
      </c>
      <c r="M33" s="79">
        <f t="shared" si="10"/>
        <v>85</v>
      </c>
      <c r="N33" s="79">
        <f t="shared" si="11"/>
        <v>-2.2833333333333314</v>
      </c>
      <c r="O33" s="39">
        <f t="shared" si="6"/>
        <v>-1.0500000000000114</v>
      </c>
      <c r="P33" s="39">
        <f t="shared" si="7"/>
        <v>1.0499999999999972</v>
      </c>
    </row>
    <row r="34" spans="1:16">
      <c r="B34" t="s">
        <v>696</v>
      </c>
      <c r="C34">
        <v>91</v>
      </c>
      <c r="D34">
        <v>95</v>
      </c>
      <c r="E34">
        <v>92</v>
      </c>
      <c r="F34">
        <v>89</v>
      </c>
      <c r="G34">
        <v>94</v>
      </c>
      <c r="H34">
        <v>91</v>
      </c>
      <c r="J34" s="59" t="s">
        <v>696</v>
      </c>
      <c r="K34" s="79">
        <f t="shared" si="8"/>
        <v>92.666666666666671</v>
      </c>
      <c r="L34" s="79">
        <f t="shared" si="9"/>
        <v>91.333333333333329</v>
      </c>
      <c r="M34" s="79">
        <f t="shared" si="10"/>
        <v>92</v>
      </c>
      <c r="N34" s="79">
        <f t="shared" si="11"/>
        <v>4.7166666666666686</v>
      </c>
      <c r="O34" s="39">
        <f t="shared" si="6"/>
        <v>-5.0000000000011369E-2</v>
      </c>
      <c r="P34" s="39">
        <f t="shared" si="7"/>
        <v>4.9999999999997158E-2</v>
      </c>
    </row>
    <row r="35" spans="1:16">
      <c r="B35" t="s">
        <v>697</v>
      </c>
      <c r="C35">
        <v>88</v>
      </c>
      <c r="D35">
        <v>90</v>
      </c>
      <c r="E35">
        <v>89</v>
      </c>
      <c r="F35">
        <v>89</v>
      </c>
      <c r="G35">
        <v>91</v>
      </c>
      <c r="H35">
        <v>88</v>
      </c>
      <c r="J35" s="59" t="s">
        <v>697</v>
      </c>
      <c r="K35" s="79">
        <f t="shared" si="8"/>
        <v>89</v>
      </c>
      <c r="L35" s="79">
        <f t="shared" si="9"/>
        <v>89.333333333333329</v>
      </c>
      <c r="M35" s="79">
        <f t="shared" si="10"/>
        <v>89.166666666666657</v>
      </c>
      <c r="N35" s="79">
        <f t="shared" si="11"/>
        <v>1.8833333333333258</v>
      </c>
      <c r="O35" s="39">
        <f t="shared" si="6"/>
        <v>-0.88333333333333997</v>
      </c>
      <c r="P35" s="39">
        <f t="shared" si="7"/>
        <v>0.88333333333333997</v>
      </c>
    </row>
    <row r="36" spans="1:16">
      <c r="B36" t="s">
        <v>698</v>
      </c>
      <c r="C36">
        <v>84</v>
      </c>
      <c r="D36">
        <v>85</v>
      </c>
      <c r="E36">
        <v>87</v>
      </c>
      <c r="F36">
        <v>82</v>
      </c>
      <c r="G36">
        <v>85</v>
      </c>
      <c r="H36">
        <v>85</v>
      </c>
      <c r="J36" s="59" t="s">
        <v>698</v>
      </c>
      <c r="K36" s="79">
        <f t="shared" si="8"/>
        <v>85.333333333333329</v>
      </c>
      <c r="L36" s="79">
        <f t="shared" si="9"/>
        <v>84</v>
      </c>
      <c r="M36" s="79">
        <f t="shared" si="10"/>
        <v>84.666666666666657</v>
      </c>
      <c r="N36" s="79">
        <f t="shared" si="11"/>
        <v>-2.6166666666666742</v>
      </c>
      <c r="O36" s="39">
        <f t="shared" si="6"/>
        <v>-5.0000000000011369E-2</v>
      </c>
      <c r="P36" s="39">
        <f t="shared" si="7"/>
        <v>5.0000000000011369E-2</v>
      </c>
    </row>
    <row r="37" spans="1:16">
      <c r="B37" t="s">
        <v>699</v>
      </c>
      <c r="C37">
        <v>88</v>
      </c>
      <c r="D37">
        <v>92</v>
      </c>
      <c r="E37">
        <v>101</v>
      </c>
      <c r="F37">
        <v>89</v>
      </c>
      <c r="G37">
        <v>90</v>
      </c>
      <c r="H37">
        <v>93</v>
      </c>
      <c r="J37" s="59" t="s">
        <v>699</v>
      </c>
      <c r="K37" s="79">
        <f t="shared" si="8"/>
        <v>93.666666666666671</v>
      </c>
      <c r="L37" s="79">
        <f t="shared" si="9"/>
        <v>90.666666666666671</v>
      </c>
      <c r="M37" s="79">
        <f t="shared" si="10"/>
        <v>92.166666666666671</v>
      </c>
      <c r="N37" s="79">
        <f t="shared" si="11"/>
        <v>4.88333333333334</v>
      </c>
      <c r="O37" s="39">
        <f t="shared" si="6"/>
        <v>0.78333333333331723</v>
      </c>
      <c r="P37" s="39">
        <f t="shared" si="7"/>
        <v>-0.78333333333333144</v>
      </c>
    </row>
    <row r="38" spans="1:16">
      <c r="J38" s="59" t="s">
        <v>986</v>
      </c>
      <c r="K38" s="79">
        <f>AVERAGE(K18:K37)</f>
        <v>88.000000000000014</v>
      </c>
      <c r="L38" s="79">
        <f>AVERAGE(L18:L37)</f>
        <v>86.566666666666663</v>
      </c>
      <c r="M38" s="79">
        <f>AVERAGE(K18:L37)</f>
        <v>87.283333333333331</v>
      </c>
      <c r="N38" s="59"/>
    </row>
    <row r="39" spans="1:16">
      <c r="B39" t="s">
        <v>1797</v>
      </c>
      <c r="C39" t="s">
        <v>987</v>
      </c>
      <c r="D39" t="s">
        <v>988</v>
      </c>
      <c r="E39" t="s">
        <v>989</v>
      </c>
      <c r="F39" t="s">
        <v>990</v>
      </c>
      <c r="G39" t="s">
        <v>1270</v>
      </c>
      <c r="J39" s="59" t="s">
        <v>991</v>
      </c>
      <c r="K39" s="79">
        <f>K38-$M$38</f>
        <v>0.71666666666668277</v>
      </c>
      <c r="L39" s="79">
        <f>L38-$M$38</f>
        <v>-0.71666666666666856</v>
      </c>
      <c r="M39" s="59"/>
      <c r="N39" s="59"/>
      <c r="O39" s="59"/>
    </row>
    <row r="40" spans="1:16">
      <c r="B40" t="s">
        <v>992</v>
      </c>
      <c r="C40">
        <v>19</v>
      </c>
      <c r="D40" s="39">
        <f>SUMSQ(N18:N37)*6</f>
        <v>1670.7000000000012</v>
      </c>
      <c r="E40" s="39">
        <f>D40/C40</f>
        <v>87.931578947368479</v>
      </c>
      <c r="F40" s="39">
        <f>(E40-E43)/6</f>
        <v>13.681652046783576</v>
      </c>
      <c r="G40" s="13">
        <f>F40/(F40+F43/6)</f>
        <v>0.93356577083457637</v>
      </c>
    </row>
    <row r="41" spans="1:16">
      <c r="B41" t="s">
        <v>993</v>
      </c>
      <c r="C41">
        <v>1</v>
      </c>
      <c r="D41" s="39">
        <f>SUMSQ(K39:L39)*60</f>
        <v>61.633333333334882</v>
      </c>
      <c r="E41" s="39">
        <f t="shared" ref="E41:E43" si="12">D41/C41</f>
        <v>61.633333333334882</v>
      </c>
      <c r="F41" s="39">
        <f>(E41-E43)/60</f>
        <v>0.92986111111113101</v>
      </c>
      <c r="G41" s="39"/>
    </row>
    <row r="42" spans="1:16">
      <c r="B42" t="s">
        <v>994</v>
      </c>
      <c r="C42">
        <f>C40*C41</f>
        <v>19</v>
      </c>
      <c r="D42" s="39">
        <f>SUMSQ(O18:P37)*3</f>
        <v>48.699999999999939</v>
      </c>
      <c r="E42" s="39">
        <f t="shared" si="12"/>
        <v>2.5631578947368387</v>
      </c>
      <c r="F42" s="39">
        <f>(E42-E43)/3</f>
        <v>-1.0928362573100607</v>
      </c>
      <c r="G42" s="39"/>
    </row>
    <row r="43" spans="1:16">
      <c r="B43" t="s">
        <v>995</v>
      </c>
      <c r="C43">
        <f>C44-C40-C41-C42</f>
        <v>80</v>
      </c>
      <c r="D43" s="39">
        <f>D44-D40-D41-D42</f>
        <v>467.33333333336168</v>
      </c>
      <c r="E43" s="39">
        <f t="shared" si="12"/>
        <v>5.8416666666670212</v>
      </c>
      <c r="F43" s="39">
        <f>E43</f>
        <v>5.8416666666670212</v>
      </c>
      <c r="G43" s="39"/>
    </row>
    <row r="44" spans="1:16">
      <c r="B44" t="s">
        <v>996</v>
      </c>
      <c r="C44">
        <v>119</v>
      </c>
      <c r="D44" s="39">
        <f>SUMSQ(C18:H37)-120*M38^2</f>
        <v>2248.3666666666977</v>
      </c>
      <c r="E44" s="39"/>
      <c r="F44" s="39"/>
      <c r="G44" s="39"/>
    </row>
    <row r="46" spans="1:16">
      <c r="A46" s="11" t="s">
        <v>997</v>
      </c>
      <c r="C46" t="s">
        <v>967</v>
      </c>
      <c r="F46" t="s">
        <v>968</v>
      </c>
      <c r="K46" t="s">
        <v>1795</v>
      </c>
      <c r="O46" s="59" t="s">
        <v>786</v>
      </c>
    </row>
    <row r="47" spans="1:16">
      <c r="B47" t="s">
        <v>969</v>
      </c>
      <c r="C47" t="s">
        <v>970</v>
      </c>
      <c r="D47" t="s">
        <v>971</v>
      </c>
      <c r="E47" t="s">
        <v>972</v>
      </c>
      <c r="F47" t="s">
        <v>970</v>
      </c>
      <c r="G47" t="s">
        <v>971</v>
      </c>
      <c r="H47" t="s">
        <v>972</v>
      </c>
      <c r="J47" t="s">
        <v>973</v>
      </c>
      <c r="K47" t="s">
        <v>967</v>
      </c>
      <c r="L47" t="s">
        <v>968</v>
      </c>
      <c r="M47" t="s">
        <v>974</v>
      </c>
      <c r="N47" s="59" t="s">
        <v>975</v>
      </c>
      <c r="O47" t="s">
        <v>967</v>
      </c>
      <c r="P47" t="s">
        <v>968</v>
      </c>
    </row>
    <row r="48" spans="1:16">
      <c r="B48" t="s">
        <v>977</v>
      </c>
      <c r="C48">
        <v>101</v>
      </c>
      <c r="D48">
        <v>90</v>
      </c>
      <c r="E48">
        <v>91</v>
      </c>
      <c r="F48">
        <v>89</v>
      </c>
      <c r="G48">
        <v>89</v>
      </c>
      <c r="H48">
        <v>93</v>
      </c>
      <c r="J48" t="s">
        <v>977</v>
      </c>
      <c r="K48" s="39">
        <f>AVERAGE(C48:E48)</f>
        <v>94</v>
      </c>
      <c r="L48" s="39">
        <f>AVERAGE(F48:H48)</f>
        <v>90.333333333333329</v>
      </c>
      <c r="M48" s="39">
        <f>AVERAGE(K48:L48)</f>
        <v>92.166666666666657</v>
      </c>
      <c r="N48" s="39">
        <f>M48-$M$38</f>
        <v>4.8833333333333258</v>
      </c>
      <c r="O48" s="39">
        <f t="shared" ref="O48:O67" si="13">K48-$M$38-$N48-K$39</f>
        <v>1.11666666666666</v>
      </c>
      <c r="P48" s="39">
        <f t="shared" ref="P48:P67" si="14">L48-$M$38-$N48-L$39</f>
        <v>-1.11666666666666</v>
      </c>
    </row>
    <row r="49" spans="2:16">
      <c r="B49" t="s">
        <v>978</v>
      </c>
      <c r="C49">
        <v>82</v>
      </c>
      <c r="D49">
        <v>85</v>
      </c>
      <c r="E49">
        <v>87</v>
      </c>
      <c r="F49">
        <v>84</v>
      </c>
      <c r="G49">
        <v>84</v>
      </c>
      <c r="H49">
        <v>83</v>
      </c>
      <c r="J49" t="s">
        <v>978</v>
      </c>
      <c r="K49" s="39">
        <f t="shared" ref="K49:K67" si="15">AVERAGE(C49:E49)</f>
        <v>84.666666666666671</v>
      </c>
      <c r="L49" s="39">
        <f t="shared" ref="L49:L67" si="16">AVERAGE(F49:H49)</f>
        <v>83.666666666666671</v>
      </c>
      <c r="M49" s="39">
        <f t="shared" ref="M49:M67" si="17">AVERAGE(K49:L49)</f>
        <v>84.166666666666671</v>
      </c>
      <c r="N49" s="39">
        <f t="shared" ref="N49:N67" si="18">M49-$M$38</f>
        <v>-3.11666666666666</v>
      </c>
      <c r="O49" s="39">
        <f t="shared" si="13"/>
        <v>-0.21666666666668277</v>
      </c>
      <c r="P49" s="39">
        <f t="shared" si="14"/>
        <v>0.21666666666666856</v>
      </c>
    </row>
    <row r="50" spans="2:16">
      <c r="B50" t="s">
        <v>979</v>
      </c>
      <c r="C50">
        <v>86</v>
      </c>
      <c r="D50">
        <v>85</v>
      </c>
      <c r="E50">
        <v>83</v>
      </c>
      <c r="F50">
        <v>80</v>
      </c>
      <c r="G50">
        <v>84</v>
      </c>
      <c r="H50">
        <v>88</v>
      </c>
      <c r="J50" t="s">
        <v>979</v>
      </c>
      <c r="K50" s="39">
        <f t="shared" si="15"/>
        <v>84.666666666666671</v>
      </c>
      <c r="L50" s="39">
        <f t="shared" si="16"/>
        <v>84</v>
      </c>
      <c r="M50" s="39">
        <f t="shared" si="17"/>
        <v>84.333333333333343</v>
      </c>
      <c r="N50" s="39">
        <f t="shared" si="18"/>
        <v>-2.9499999999999886</v>
      </c>
      <c r="O50" s="39">
        <f t="shared" si="13"/>
        <v>-0.38333333333335418</v>
      </c>
      <c r="P50" s="39">
        <f t="shared" si="14"/>
        <v>0.38333333333332575</v>
      </c>
    </row>
    <row r="51" spans="2:16">
      <c r="B51" t="s">
        <v>980</v>
      </c>
      <c r="C51">
        <v>85</v>
      </c>
      <c r="D51">
        <v>85</v>
      </c>
      <c r="E51">
        <v>87</v>
      </c>
      <c r="F51">
        <v>83</v>
      </c>
      <c r="G51">
        <v>84</v>
      </c>
      <c r="H51">
        <v>83</v>
      </c>
      <c r="J51" t="s">
        <v>980</v>
      </c>
      <c r="K51" s="39">
        <f t="shared" si="15"/>
        <v>85.666666666666671</v>
      </c>
      <c r="L51" s="39">
        <f t="shared" si="16"/>
        <v>83.333333333333329</v>
      </c>
      <c r="M51" s="39">
        <f t="shared" si="17"/>
        <v>84.5</v>
      </c>
      <c r="N51" s="39">
        <f t="shared" si="18"/>
        <v>-2.7833333333333314</v>
      </c>
      <c r="O51" s="39">
        <f t="shared" si="13"/>
        <v>0.44999999999998863</v>
      </c>
      <c r="P51" s="39">
        <f t="shared" si="14"/>
        <v>-0.45000000000000284</v>
      </c>
    </row>
    <row r="52" spans="2:16">
      <c r="B52" t="s">
        <v>981</v>
      </c>
      <c r="C52">
        <v>80</v>
      </c>
      <c r="D52">
        <v>82</v>
      </c>
      <c r="E52">
        <v>81</v>
      </c>
      <c r="F52">
        <v>81</v>
      </c>
      <c r="G52">
        <v>82</v>
      </c>
      <c r="H52">
        <v>83</v>
      </c>
      <c r="J52" t="s">
        <v>981</v>
      </c>
      <c r="K52" s="39">
        <f t="shared" si="15"/>
        <v>81</v>
      </c>
      <c r="L52" s="39">
        <f t="shared" si="16"/>
        <v>82</v>
      </c>
      <c r="M52" s="39">
        <f t="shared" si="17"/>
        <v>81.5</v>
      </c>
      <c r="N52" s="39">
        <f t="shared" si="18"/>
        <v>-5.7833333333333314</v>
      </c>
      <c r="O52" s="39">
        <f t="shared" si="13"/>
        <v>-1.2166666666666828</v>
      </c>
      <c r="P52" s="39">
        <f t="shared" si="14"/>
        <v>1.2166666666666686</v>
      </c>
    </row>
    <row r="53" spans="2:16">
      <c r="B53" t="s">
        <v>982</v>
      </c>
      <c r="C53">
        <v>95</v>
      </c>
      <c r="D53">
        <v>98</v>
      </c>
      <c r="E53">
        <v>95</v>
      </c>
      <c r="F53">
        <v>89</v>
      </c>
      <c r="G53">
        <v>94</v>
      </c>
      <c r="H53">
        <v>95</v>
      </c>
      <c r="J53" t="s">
        <v>982</v>
      </c>
      <c r="K53" s="39">
        <f t="shared" si="15"/>
        <v>96</v>
      </c>
      <c r="L53" s="39">
        <f t="shared" si="16"/>
        <v>92.666666666666671</v>
      </c>
      <c r="M53" s="39">
        <f t="shared" si="17"/>
        <v>94.333333333333343</v>
      </c>
      <c r="N53" s="39">
        <f t="shared" si="18"/>
        <v>7.0500000000000114</v>
      </c>
      <c r="O53" s="39">
        <f t="shared" si="13"/>
        <v>0.94999999999997442</v>
      </c>
      <c r="P53" s="39">
        <f t="shared" si="14"/>
        <v>-0.95000000000000284</v>
      </c>
    </row>
    <row r="54" spans="2:16">
      <c r="B54" t="s">
        <v>983</v>
      </c>
      <c r="C54">
        <v>84</v>
      </c>
      <c r="D54">
        <v>85</v>
      </c>
      <c r="E54">
        <v>85</v>
      </c>
      <c r="F54">
        <v>81</v>
      </c>
      <c r="G54">
        <v>84</v>
      </c>
      <c r="H54">
        <v>85</v>
      </c>
      <c r="J54" t="s">
        <v>983</v>
      </c>
      <c r="K54" s="39">
        <f t="shared" si="15"/>
        <v>84.666666666666671</v>
      </c>
      <c r="L54" s="39">
        <f t="shared" si="16"/>
        <v>83.333333333333329</v>
      </c>
      <c r="M54" s="39">
        <f t="shared" si="17"/>
        <v>84</v>
      </c>
      <c r="N54" s="39">
        <f t="shared" si="18"/>
        <v>-3.2833333333333314</v>
      </c>
      <c r="O54" s="39">
        <f t="shared" si="13"/>
        <v>-5.0000000000011369E-2</v>
      </c>
      <c r="P54" s="39">
        <f t="shared" si="14"/>
        <v>4.9999999999997158E-2</v>
      </c>
    </row>
    <row r="55" spans="2:16">
      <c r="B55" t="s">
        <v>984</v>
      </c>
      <c r="C55">
        <v>86</v>
      </c>
      <c r="D55">
        <v>85</v>
      </c>
      <c r="E55">
        <v>87</v>
      </c>
      <c r="F55">
        <v>84</v>
      </c>
      <c r="G55">
        <v>85</v>
      </c>
      <c r="H55">
        <v>83</v>
      </c>
      <c r="J55" t="s">
        <v>984</v>
      </c>
      <c r="K55" s="39">
        <f t="shared" si="15"/>
        <v>86</v>
      </c>
      <c r="L55" s="39">
        <f t="shared" si="16"/>
        <v>84</v>
      </c>
      <c r="M55" s="39">
        <f t="shared" si="17"/>
        <v>85</v>
      </c>
      <c r="N55" s="39">
        <f t="shared" si="18"/>
        <v>-2.2833333333333314</v>
      </c>
      <c r="O55" s="39">
        <f t="shared" si="13"/>
        <v>0.28333333333331723</v>
      </c>
      <c r="P55" s="39">
        <f t="shared" si="14"/>
        <v>-0.28333333333333144</v>
      </c>
    </row>
    <row r="56" spans="2:16">
      <c r="B56" t="s">
        <v>985</v>
      </c>
      <c r="C56">
        <v>87</v>
      </c>
      <c r="D56">
        <v>89</v>
      </c>
      <c r="E56">
        <v>91</v>
      </c>
      <c r="F56">
        <v>85</v>
      </c>
      <c r="G56">
        <v>88</v>
      </c>
      <c r="H56">
        <v>87</v>
      </c>
      <c r="J56" t="s">
        <v>985</v>
      </c>
      <c r="K56" s="39">
        <f t="shared" si="15"/>
        <v>89</v>
      </c>
      <c r="L56" s="39">
        <f t="shared" si="16"/>
        <v>86.666666666666671</v>
      </c>
      <c r="M56" s="39">
        <f t="shared" si="17"/>
        <v>87.833333333333343</v>
      </c>
      <c r="N56" s="39">
        <f t="shared" si="18"/>
        <v>0.55000000000001137</v>
      </c>
      <c r="O56" s="39">
        <f t="shared" si="13"/>
        <v>0.44999999999997442</v>
      </c>
      <c r="P56" s="39">
        <f t="shared" si="14"/>
        <v>-0.45000000000000284</v>
      </c>
    </row>
    <row r="57" spans="2:16">
      <c r="B57" t="s">
        <v>689</v>
      </c>
      <c r="C57">
        <v>84</v>
      </c>
      <c r="D57">
        <v>85</v>
      </c>
      <c r="E57">
        <v>89</v>
      </c>
      <c r="F57">
        <v>82</v>
      </c>
      <c r="G57">
        <v>85</v>
      </c>
      <c r="H57">
        <v>85</v>
      </c>
      <c r="J57" t="s">
        <v>689</v>
      </c>
      <c r="K57" s="39">
        <f t="shared" si="15"/>
        <v>86</v>
      </c>
      <c r="L57" s="39">
        <f t="shared" si="16"/>
        <v>84</v>
      </c>
      <c r="M57" s="39">
        <f t="shared" si="17"/>
        <v>85</v>
      </c>
      <c r="N57" s="39">
        <f t="shared" si="18"/>
        <v>-2.2833333333333314</v>
      </c>
      <c r="O57" s="39">
        <f t="shared" si="13"/>
        <v>0.28333333333331723</v>
      </c>
      <c r="P57" s="39">
        <f t="shared" si="14"/>
        <v>-0.28333333333333144</v>
      </c>
    </row>
    <row r="58" spans="2:16">
      <c r="B58" t="s">
        <v>690</v>
      </c>
      <c r="C58">
        <v>82</v>
      </c>
      <c r="D58">
        <v>85</v>
      </c>
      <c r="E58">
        <v>83</v>
      </c>
      <c r="F58">
        <v>81</v>
      </c>
      <c r="G58">
        <v>85</v>
      </c>
      <c r="H58">
        <v>82</v>
      </c>
      <c r="J58" t="s">
        <v>690</v>
      </c>
      <c r="K58" s="39">
        <f t="shared" si="15"/>
        <v>83.333333333333329</v>
      </c>
      <c r="L58" s="39">
        <f t="shared" si="16"/>
        <v>82.666666666666671</v>
      </c>
      <c r="M58" s="39">
        <f t="shared" si="17"/>
        <v>83</v>
      </c>
      <c r="N58" s="39">
        <f t="shared" si="18"/>
        <v>-4.2833333333333314</v>
      </c>
      <c r="O58" s="39">
        <f t="shared" si="13"/>
        <v>-0.38333333333335418</v>
      </c>
      <c r="P58" s="39">
        <f t="shared" si="14"/>
        <v>0.38333333333333997</v>
      </c>
    </row>
    <row r="59" spans="2:16">
      <c r="B59" t="s">
        <v>691</v>
      </c>
      <c r="C59">
        <v>83</v>
      </c>
      <c r="D59">
        <v>85</v>
      </c>
      <c r="E59">
        <v>87</v>
      </c>
      <c r="F59">
        <v>83</v>
      </c>
      <c r="G59">
        <v>87</v>
      </c>
      <c r="H59">
        <v>83</v>
      </c>
      <c r="J59" t="s">
        <v>691</v>
      </c>
      <c r="K59" s="39">
        <f t="shared" si="15"/>
        <v>85</v>
      </c>
      <c r="L59" s="39">
        <f t="shared" si="16"/>
        <v>84.333333333333329</v>
      </c>
      <c r="M59" s="39">
        <f t="shared" si="17"/>
        <v>84.666666666666657</v>
      </c>
      <c r="N59" s="39">
        <f t="shared" si="18"/>
        <v>-2.6166666666666742</v>
      </c>
      <c r="O59" s="39">
        <f t="shared" si="13"/>
        <v>-0.38333333333333997</v>
      </c>
      <c r="P59" s="39">
        <f t="shared" si="14"/>
        <v>0.38333333333333997</v>
      </c>
    </row>
    <row r="60" spans="2:16">
      <c r="B60" t="s">
        <v>692</v>
      </c>
      <c r="C60">
        <v>89</v>
      </c>
      <c r="D60">
        <v>87</v>
      </c>
      <c r="E60">
        <v>94</v>
      </c>
      <c r="F60">
        <v>89</v>
      </c>
      <c r="G60">
        <v>92</v>
      </c>
      <c r="H60">
        <v>88</v>
      </c>
      <c r="J60" t="s">
        <v>692</v>
      </c>
      <c r="K60" s="39">
        <f t="shared" si="15"/>
        <v>90</v>
      </c>
      <c r="L60" s="39">
        <f t="shared" si="16"/>
        <v>89.666666666666671</v>
      </c>
      <c r="M60" s="39">
        <f t="shared" si="17"/>
        <v>89.833333333333343</v>
      </c>
      <c r="N60" s="39">
        <f t="shared" si="18"/>
        <v>2.5500000000000114</v>
      </c>
      <c r="O60" s="39">
        <f t="shared" si="13"/>
        <v>-0.55000000000002558</v>
      </c>
      <c r="P60" s="39">
        <f t="shared" si="14"/>
        <v>0.54999999999999716</v>
      </c>
    </row>
    <row r="61" spans="2:16">
      <c r="B61" t="s">
        <v>693</v>
      </c>
      <c r="C61">
        <v>90</v>
      </c>
      <c r="D61">
        <v>92</v>
      </c>
      <c r="E61">
        <v>93</v>
      </c>
      <c r="F61">
        <v>89</v>
      </c>
      <c r="G61">
        <v>91</v>
      </c>
      <c r="H61">
        <v>90</v>
      </c>
      <c r="J61" t="s">
        <v>693</v>
      </c>
      <c r="K61" s="39">
        <f t="shared" si="15"/>
        <v>91.666666666666671</v>
      </c>
      <c r="L61" s="39">
        <f t="shared" si="16"/>
        <v>90</v>
      </c>
      <c r="M61" s="39">
        <f t="shared" si="17"/>
        <v>90.833333333333343</v>
      </c>
      <c r="N61" s="39">
        <f t="shared" si="18"/>
        <v>3.5500000000000114</v>
      </c>
      <c r="O61" s="39">
        <f t="shared" si="13"/>
        <v>0.11666666666664582</v>
      </c>
      <c r="P61" s="39">
        <f t="shared" si="14"/>
        <v>-0.11666666666667425</v>
      </c>
    </row>
    <row r="62" spans="2:16">
      <c r="B62" t="s">
        <v>694</v>
      </c>
      <c r="C62">
        <v>95</v>
      </c>
      <c r="D62">
        <v>89</v>
      </c>
      <c r="E62">
        <v>95</v>
      </c>
      <c r="F62">
        <v>89</v>
      </c>
      <c r="G62">
        <v>90</v>
      </c>
      <c r="H62">
        <v>91</v>
      </c>
      <c r="J62" t="s">
        <v>694</v>
      </c>
      <c r="K62" s="39">
        <f t="shared" si="15"/>
        <v>93</v>
      </c>
      <c r="L62" s="39">
        <f t="shared" si="16"/>
        <v>90</v>
      </c>
      <c r="M62" s="39">
        <f t="shared" si="17"/>
        <v>91.5</v>
      </c>
      <c r="N62" s="39">
        <f t="shared" si="18"/>
        <v>4.2166666666666686</v>
      </c>
      <c r="O62" s="39">
        <f t="shared" si="13"/>
        <v>0.78333333333331723</v>
      </c>
      <c r="P62" s="39">
        <f t="shared" si="14"/>
        <v>-0.78333333333333144</v>
      </c>
    </row>
    <row r="63" spans="2:16">
      <c r="B63" t="s">
        <v>695</v>
      </c>
      <c r="C63">
        <v>82</v>
      </c>
      <c r="D63">
        <v>85</v>
      </c>
      <c r="E63">
        <v>87</v>
      </c>
      <c r="F63">
        <v>84</v>
      </c>
      <c r="G63">
        <v>85</v>
      </c>
      <c r="H63">
        <v>87</v>
      </c>
      <c r="J63" t="s">
        <v>695</v>
      </c>
      <c r="K63" s="39">
        <f t="shared" si="15"/>
        <v>84.666666666666671</v>
      </c>
      <c r="L63" s="39">
        <f t="shared" si="16"/>
        <v>85.333333333333329</v>
      </c>
      <c r="M63" s="39">
        <f t="shared" si="17"/>
        <v>85</v>
      </c>
      <c r="N63" s="39">
        <f t="shared" si="18"/>
        <v>-2.2833333333333314</v>
      </c>
      <c r="O63" s="39">
        <f t="shared" si="13"/>
        <v>-1.0500000000000114</v>
      </c>
      <c r="P63" s="39">
        <f t="shared" si="14"/>
        <v>1.0499999999999972</v>
      </c>
    </row>
    <row r="64" spans="2:16">
      <c r="B64" t="s">
        <v>696</v>
      </c>
      <c r="C64">
        <v>91</v>
      </c>
      <c r="D64">
        <v>95</v>
      </c>
      <c r="E64">
        <v>92</v>
      </c>
      <c r="F64">
        <v>89</v>
      </c>
      <c r="G64">
        <v>94</v>
      </c>
      <c r="H64">
        <v>91</v>
      </c>
      <c r="J64" t="s">
        <v>696</v>
      </c>
      <c r="K64" s="39">
        <f t="shared" si="15"/>
        <v>92.666666666666671</v>
      </c>
      <c r="L64" s="39">
        <f t="shared" si="16"/>
        <v>91.333333333333329</v>
      </c>
      <c r="M64" s="39">
        <f t="shared" si="17"/>
        <v>92</v>
      </c>
      <c r="N64" s="39">
        <f t="shared" si="18"/>
        <v>4.7166666666666686</v>
      </c>
      <c r="O64" s="39">
        <f t="shared" si="13"/>
        <v>-5.0000000000011369E-2</v>
      </c>
      <c r="P64" s="39">
        <f t="shared" si="14"/>
        <v>4.9999999999997158E-2</v>
      </c>
    </row>
    <row r="65" spans="1:18">
      <c r="B65" t="s">
        <v>697</v>
      </c>
      <c r="C65">
        <v>88</v>
      </c>
      <c r="D65">
        <v>90</v>
      </c>
      <c r="E65">
        <v>89</v>
      </c>
      <c r="F65">
        <v>89</v>
      </c>
      <c r="G65">
        <v>91</v>
      </c>
      <c r="H65">
        <v>88</v>
      </c>
      <c r="J65" t="s">
        <v>697</v>
      </c>
      <c r="K65" s="39">
        <f t="shared" si="15"/>
        <v>89</v>
      </c>
      <c r="L65" s="39">
        <f t="shared" si="16"/>
        <v>89.333333333333329</v>
      </c>
      <c r="M65" s="39">
        <f t="shared" si="17"/>
        <v>89.166666666666657</v>
      </c>
      <c r="N65" s="39">
        <f t="shared" si="18"/>
        <v>1.8833333333333258</v>
      </c>
      <c r="O65" s="39">
        <f t="shared" si="13"/>
        <v>-0.88333333333333997</v>
      </c>
      <c r="P65" s="39">
        <f t="shared" si="14"/>
        <v>0.88333333333333997</v>
      </c>
    </row>
    <row r="66" spans="1:18">
      <c r="B66" t="s">
        <v>698</v>
      </c>
      <c r="C66">
        <v>84</v>
      </c>
      <c r="D66">
        <v>85</v>
      </c>
      <c r="E66">
        <v>87</v>
      </c>
      <c r="F66">
        <v>82</v>
      </c>
      <c r="G66">
        <v>85</v>
      </c>
      <c r="H66">
        <v>85</v>
      </c>
      <c r="J66" t="s">
        <v>698</v>
      </c>
      <c r="K66" s="39">
        <f t="shared" si="15"/>
        <v>85.333333333333329</v>
      </c>
      <c r="L66" s="39">
        <f t="shared" si="16"/>
        <v>84</v>
      </c>
      <c r="M66" s="39">
        <f t="shared" si="17"/>
        <v>84.666666666666657</v>
      </c>
      <c r="N66" s="39">
        <f t="shared" si="18"/>
        <v>-2.6166666666666742</v>
      </c>
      <c r="O66" s="39">
        <f t="shared" si="13"/>
        <v>-5.0000000000011369E-2</v>
      </c>
      <c r="P66" s="39">
        <f t="shared" si="14"/>
        <v>5.0000000000011369E-2</v>
      </c>
    </row>
    <row r="67" spans="1:18">
      <c r="B67" t="s">
        <v>699</v>
      </c>
      <c r="C67">
        <v>88</v>
      </c>
      <c r="D67">
        <v>92</v>
      </c>
      <c r="E67">
        <v>101</v>
      </c>
      <c r="F67">
        <v>89</v>
      </c>
      <c r="G67">
        <v>90</v>
      </c>
      <c r="H67">
        <v>93</v>
      </c>
      <c r="J67" t="s">
        <v>699</v>
      </c>
      <c r="K67" s="39">
        <f t="shared" si="15"/>
        <v>93.666666666666671</v>
      </c>
      <c r="L67" s="39">
        <f t="shared" si="16"/>
        <v>90.666666666666671</v>
      </c>
      <c r="M67" s="39">
        <f t="shared" si="17"/>
        <v>92.166666666666671</v>
      </c>
      <c r="N67" s="39">
        <f t="shared" si="18"/>
        <v>4.88333333333334</v>
      </c>
      <c r="O67" s="39">
        <f t="shared" si="13"/>
        <v>0.78333333333331723</v>
      </c>
      <c r="P67" s="39">
        <f t="shared" si="14"/>
        <v>-0.78333333333333144</v>
      </c>
    </row>
    <row r="68" spans="1:18">
      <c r="B68" t="s">
        <v>963</v>
      </c>
      <c r="C68">
        <f>AVERAGE(C48:C67)</f>
        <v>87.1</v>
      </c>
      <c r="D68">
        <f t="shared" ref="D68:E68" si="19">AVERAGE(D48:D67)</f>
        <v>87.7</v>
      </c>
      <c r="E68">
        <f t="shared" si="19"/>
        <v>89.2</v>
      </c>
      <c r="F68">
        <f>AVERAGE(F48:F67)</f>
        <v>85.1</v>
      </c>
      <c r="G68">
        <f t="shared" ref="G68:H68" si="20">AVERAGE(G48:G67)</f>
        <v>87.45</v>
      </c>
      <c r="H68">
        <f t="shared" si="20"/>
        <v>87.15</v>
      </c>
      <c r="J68" t="s">
        <v>963</v>
      </c>
      <c r="K68" s="39">
        <f>AVERAGE(K48:K67)</f>
        <v>88.000000000000014</v>
      </c>
      <c r="L68" s="39">
        <f>AVERAGE(L48:L67)</f>
        <v>86.566666666666663</v>
      </c>
      <c r="M68" s="39">
        <f>AVERAGE(K48:L67)</f>
        <v>87.283333333333331</v>
      </c>
    </row>
    <row r="69" spans="1:18">
      <c r="B69" t="s">
        <v>998</v>
      </c>
      <c r="E69">
        <f>AVERAGE(C48:E67)</f>
        <v>88</v>
      </c>
      <c r="H69" s="13">
        <f>AVERAGE(F48:H67)</f>
        <v>86.566666666666663</v>
      </c>
      <c r="J69" s="59" t="s">
        <v>999</v>
      </c>
      <c r="K69" s="39">
        <f>K68-$M$38</f>
        <v>0.71666666666668277</v>
      </c>
      <c r="L69" s="39">
        <f>L68-$M$38</f>
        <v>-0.71666666666666856</v>
      </c>
    </row>
    <row r="70" spans="1:18">
      <c r="B70" t="s">
        <v>1000</v>
      </c>
      <c r="C70">
        <f>C68-$E$69</f>
        <v>-0.90000000000000568</v>
      </c>
      <c r="D70">
        <f t="shared" ref="D70" si="21">D68-$E$69</f>
        <v>-0.29999999999999716</v>
      </c>
      <c r="E70">
        <f>E68-$E$69</f>
        <v>1.2000000000000028</v>
      </c>
      <c r="F70" s="13">
        <f>F68-$H$69</f>
        <v>-1.4666666666666686</v>
      </c>
      <c r="G70" s="13">
        <f t="shared" ref="G70" si="22">G68-$H$69</f>
        <v>0.88333333333333997</v>
      </c>
      <c r="H70" s="13">
        <f>H68-$H$69</f>
        <v>0.58333333333334281</v>
      </c>
      <c r="J70" s="59"/>
      <c r="K70" s="39"/>
      <c r="L70" s="39"/>
    </row>
    <row r="72" spans="1:18">
      <c r="B72" t="s">
        <v>1797</v>
      </c>
      <c r="C72" t="s">
        <v>603</v>
      </c>
      <c r="D72" t="s">
        <v>794</v>
      </c>
      <c r="E72" t="s">
        <v>795</v>
      </c>
      <c r="F72" t="s">
        <v>990</v>
      </c>
      <c r="G72" t="s">
        <v>1270</v>
      </c>
    </row>
    <row r="73" spans="1:18">
      <c r="B73" t="s">
        <v>1001</v>
      </c>
      <c r="C73">
        <v>4</v>
      </c>
      <c r="D73" s="39">
        <f>SUMSQ(C70:H70)*20</f>
        <v>112.23333333333422</v>
      </c>
      <c r="E73" s="39"/>
      <c r="F73" s="39"/>
      <c r="G73" s="39"/>
    </row>
    <row r="74" spans="1:18">
      <c r="B74" t="s">
        <v>1002</v>
      </c>
      <c r="C74">
        <v>19</v>
      </c>
      <c r="D74" s="39">
        <f>SUMSQ(N48:N67)*6</f>
        <v>1670.7000000000012</v>
      </c>
      <c r="E74" s="39">
        <f>D74/C74</f>
        <v>87.931578947368479</v>
      </c>
      <c r="F74" s="39">
        <f>(E74-E77)/6</f>
        <v>13.876535087719247</v>
      </c>
      <c r="G74" s="13">
        <f>F74/(F74+F77/6)</f>
        <v>0.946863590111925</v>
      </c>
    </row>
    <row r="75" spans="1:18">
      <c r="B75" t="s">
        <v>1003</v>
      </c>
      <c r="C75">
        <v>1</v>
      </c>
      <c r="D75" s="39">
        <f>SUMSQ(K69:L69)*60</f>
        <v>61.633333333334882</v>
      </c>
      <c r="E75" s="39">
        <f t="shared" ref="E75:E77" si="23">D75/C75</f>
        <v>61.633333333334882</v>
      </c>
      <c r="F75" s="39">
        <f>(E75-E77)/60</f>
        <v>0.94934941520469818</v>
      </c>
      <c r="G75" s="39"/>
    </row>
    <row r="76" spans="1:18">
      <c r="B76" t="s">
        <v>1004</v>
      </c>
      <c r="C76">
        <f>C74*C75</f>
        <v>19</v>
      </c>
      <c r="D76" s="39">
        <f>SUMSQ(O48:P67)*3</f>
        <v>48.699999999999939</v>
      </c>
      <c r="E76" s="39">
        <f t="shared" si="23"/>
        <v>2.5631578947368387</v>
      </c>
      <c r="F76" s="39">
        <f>(E76-E77)/3</f>
        <v>-0.7030701754387193</v>
      </c>
      <c r="G76" s="39"/>
    </row>
    <row r="77" spans="1:18">
      <c r="B77" t="s">
        <v>1005</v>
      </c>
      <c r="C77">
        <f>C78-C73-C74-C75-C76</f>
        <v>76</v>
      </c>
      <c r="D77" s="39">
        <f>D78-D73-D74-D75-D76</f>
        <v>355.10000000002771</v>
      </c>
      <c r="E77" s="39">
        <f t="shared" si="23"/>
        <v>4.6723684210529965</v>
      </c>
      <c r="F77" s="39">
        <f>E77</f>
        <v>4.6723684210529965</v>
      </c>
      <c r="G77" s="39"/>
    </row>
    <row r="78" spans="1:18">
      <c r="B78" t="s">
        <v>1006</v>
      </c>
      <c r="C78">
        <v>119</v>
      </c>
      <c r="D78" s="39">
        <f>SUMSQ(C48:H67)-120*M68^2</f>
        <v>2248.3666666666977</v>
      </c>
      <c r="E78" s="39"/>
      <c r="F78" s="39"/>
      <c r="G78" s="39"/>
    </row>
    <row r="80" spans="1:18">
      <c r="A80" s="11" t="s">
        <v>1007</v>
      </c>
      <c r="C80" t="s">
        <v>1008</v>
      </c>
      <c r="E80" t="s">
        <v>1009</v>
      </c>
      <c r="G80" t="s">
        <v>1010</v>
      </c>
      <c r="I80" t="s">
        <v>1011</v>
      </c>
      <c r="L80" t="s">
        <v>1798</v>
      </c>
      <c r="R80" t="s">
        <v>955</v>
      </c>
    </row>
    <row r="81" spans="2:21">
      <c r="B81" t="s">
        <v>1800</v>
      </c>
      <c r="C81" t="s">
        <v>1012</v>
      </c>
      <c r="D81" t="s">
        <v>1013</v>
      </c>
      <c r="E81" t="s">
        <v>1014</v>
      </c>
      <c r="F81" t="s">
        <v>1013</v>
      </c>
      <c r="G81" t="s">
        <v>1014</v>
      </c>
      <c r="H81" t="s">
        <v>1013</v>
      </c>
      <c r="I81" t="s">
        <v>1014</v>
      </c>
      <c r="J81" t="s">
        <v>1013</v>
      </c>
      <c r="K81" t="s">
        <v>1799</v>
      </c>
      <c r="L81" t="s">
        <v>956</v>
      </c>
      <c r="M81" t="s">
        <v>957</v>
      </c>
      <c r="N81" t="s">
        <v>958</v>
      </c>
      <c r="O81" t="s">
        <v>1015</v>
      </c>
      <c r="P81" t="s">
        <v>953</v>
      </c>
      <c r="Q81" t="s">
        <v>1016</v>
      </c>
      <c r="R81" t="s">
        <v>956</v>
      </c>
      <c r="S81" t="s">
        <v>957</v>
      </c>
      <c r="T81" t="s">
        <v>958</v>
      </c>
      <c r="U81" t="s">
        <v>1015</v>
      </c>
    </row>
    <row r="82" spans="2:21">
      <c r="B82" t="s">
        <v>1017</v>
      </c>
      <c r="C82">
        <v>5.4</v>
      </c>
      <c r="D82">
        <v>5.5</v>
      </c>
      <c r="E82">
        <v>5.5</v>
      </c>
      <c r="F82">
        <v>5.4</v>
      </c>
      <c r="G82">
        <v>5.4</v>
      </c>
      <c r="H82">
        <v>5.4</v>
      </c>
      <c r="I82">
        <v>5.6</v>
      </c>
      <c r="J82">
        <v>5.4</v>
      </c>
      <c r="K82" t="s">
        <v>1017</v>
      </c>
      <c r="L82">
        <f t="shared" ref="L82:L101" si="24">AVERAGE(C82:D82)</f>
        <v>5.45</v>
      </c>
      <c r="M82">
        <f t="shared" ref="M82:M101" si="25">AVERAGE(E82:F82)</f>
        <v>5.45</v>
      </c>
      <c r="N82">
        <f t="shared" ref="N82:N101" si="26">AVERAGE(G82:H82)</f>
        <v>5.4</v>
      </c>
      <c r="O82">
        <f t="shared" ref="O82:O101" si="27">AVERAGE(I82:J82)</f>
        <v>5.5</v>
      </c>
      <c r="P82" s="18">
        <f>AVERAGE(L82:O82)</f>
        <v>5.45</v>
      </c>
      <c r="Q82" s="18">
        <f>P82-$P$102</f>
        <v>-1.124999999999865E-2</v>
      </c>
      <c r="R82" s="18">
        <f t="shared" ref="R82:R101" si="28">L82-$P$102-$Q82-L$103</f>
        <v>-1.2500000000006395E-3</v>
      </c>
      <c r="S82" s="18">
        <f t="shared" ref="S82:S101" si="29">M82-$P$102-$Q82-M$103</f>
        <v>6.2499999999978684E-3</v>
      </c>
      <c r="T82" s="18">
        <f t="shared" ref="T82:T101" si="30">N82-$P$102-$Q82-N$103</f>
        <v>-3.3750000000000391E-2</v>
      </c>
      <c r="U82" s="18">
        <f t="shared" ref="U82:U101" si="31">O82-$P$102-$Q82-O$103</f>
        <v>2.8749999999998721E-2</v>
      </c>
    </row>
    <row r="83" spans="2:21">
      <c r="B83" t="s">
        <v>776</v>
      </c>
      <c r="C83">
        <v>6.3</v>
      </c>
      <c r="D83">
        <v>6.4</v>
      </c>
      <c r="E83">
        <v>6.2</v>
      </c>
      <c r="F83">
        <v>6.1</v>
      </c>
      <c r="G83">
        <v>6.2</v>
      </c>
      <c r="H83">
        <v>6.3</v>
      </c>
      <c r="I83">
        <v>6.5</v>
      </c>
      <c r="J83">
        <v>6.3</v>
      </c>
      <c r="K83" t="s">
        <v>776</v>
      </c>
      <c r="L83">
        <f t="shared" si="24"/>
        <v>6.35</v>
      </c>
      <c r="M83">
        <f t="shared" si="25"/>
        <v>6.15</v>
      </c>
      <c r="N83">
        <f t="shared" si="26"/>
        <v>6.25</v>
      </c>
      <c r="O83">
        <f t="shared" si="27"/>
        <v>6.4</v>
      </c>
      <c r="P83" s="18">
        <f t="shared" ref="P83:P101" si="32">AVERAGE(L83:O83)</f>
        <v>6.2874999999999996</v>
      </c>
      <c r="Q83" s="18">
        <f t="shared" ref="Q83:Q101" si="33">P83-$P$102</f>
        <v>0.82625000000000082</v>
      </c>
      <c r="R83" s="18">
        <f t="shared" si="28"/>
        <v>6.1249999999999361E-2</v>
      </c>
      <c r="S83" s="18">
        <f t="shared" si="29"/>
        <v>-0.13125000000000142</v>
      </c>
      <c r="T83" s="18">
        <f t="shared" si="30"/>
        <v>-2.1250000000000213E-2</v>
      </c>
      <c r="U83" s="18">
        <f t="shared" si="31"/>
        <v>9.1249999999999609E-2</v>
      </c>
    </row>
    <row r="84" spans="2:21">
      <c r="B84" t="s">
        <v>777</v>
      </c>
      <c r="C84">
        <v>5.3</v>
      </c>
      <c r="D84">
        <v>5.4</v>
      </c>
      <c r="E84">
        <v>5.4</v>
      </c>
      <c r="F84">
        <v>5.3</v>
      </c>
      <c r="G84">
        <v>5.3</v>
      </c>
      <c r="H84">
        <v>5.2</v>
      </c>
      <c r="I84">
        <v>5.3</v>
      </c>
      <c r="J84">
        <v>5.4</v>
      </c>
      <c r="K84" t="s">
        <v>777</v>
      </c>
      <c r="L84">
        <f t="shared" si="24"/>
        <v>5.35</v>
      </c>
      <c r="M84">
        <f t="shared" si="25"/>
        <v>5.35</v>
      </c>
      <c r="N84">
        <f t="shared" si="26"/>
        <v>5.25</v>
      </c>
      <c r="O84">
        <f t="shared" si="27"/>
        <v>5.35</v>
      </c>
      <c r="P84" s="18">
        <f t="shared" si="32"/>
        <v>5.3249999999999993</v>
      </c>
      <c r="Q84" s="18">
        <f t="shared" si="33"/>
        <v>-0.13624999999999954</v>
      </c>
      <c r="R84" s="18">
        <f t="shared" si="28"/>
        <v>2.3749999999999716E-2</v>
      </c>
      <c r="S84" s="18">
        <f t="shared" si="29"/>
        <v>3.1249999999998224E-2</v>
      </c>
      <c r="T84" s="18">
        <f t="shared" si="30"/>
        <v>-5.8749999999999858E-2</v>
      </c>
      <c r="U84" s="18">
        <f t="shared" si="31"/>
        <v>3.7499999999992539E-3</v>
      </c>
    </row>
    <row r="85" spans="2:21">
      <c r="B85" t="s">
        <v>778</v>
      </c>
      <c r="C85">
        <v>5.4</v>
      </c>
      <c r="D85">
        <v>5.4</v>
      </c>
      <c r="E85">
        <v>5.4</v>
      </c>
      <c r="F85">
        <v>5.5</v>
      </c>
      <c r="G85">
        <v>5.5</v>
      </c>
      <c r="H85">
        <v>5.4</v>
      </c>
      <c r="I85">
        <v>5.4</v>
      </c>
      <c r="J85">
        <v>5.3</v>
      </c>
      <c r="K85" t="s">
        <v>778</v>
      </c>
      <c r="L85">
        <f t="shared" si="24"/>
        <v>5.4</v>
      </c>
      <c r="M85">
        <f t="shared" si="25"/>
        <v>5.45</v>
      </c>
      <c r="N85">
        <f t="shared" si="26"/>
        <v>5.45</v>
      </c>
      <c r="O85">
        <f t="shared" si="27"/>
        <v>5.35</v>
      </c>
      <c r="P85" s="18">
        <f t="shared" si="32"/>
        <v>5.4124999999999996</v>
      </c>
      <c r="Q85" s="18">
        <f t="shared" si="33"/>
        <v>-4.8749999999999183E-2</v>
      </c>
      <c r="R85" s="18">
        <f t="shared" si="28"/>
        <v>-1.3749999999999929E-2</v>
      </c>
      <c r="S85" s="18">
        <f t="shared" si="29"/>
        <v>4.3749999999998401E-2</v>
      </c>
      <c r="T85" s="18">
        <f t="shared" si="30"/>
        <v>5.3749999999999964E-2</v>
      </c>
      <c r="U85" s="18">
        <f t="shared" si="31"/>
        <v>-8.3750000000001101E-2</v>
      </c>
    </row>
    <row r="86" spans="2:21">
      <c r="B86" t="s">
        <v>779</v>
      </c>
      <c r="C86">
        <v>5.3</v>
      </c>
      <c r="D86">
        <v>5.4</v>
      </c>
      <c r="E86">
        <v>5.4</v>
      </c>
      <c r="F86">
        <v>5.3</v>
      </c>
      <c r="G86">
        <v>5.4</v>
      </c>
      <c r="H86">
        <v>5.3</v>
      </c>
      <c r="I86">
        <v>5.3</v>
      </c>
      <c r="J86">
        <v>5.3</v>
      </c>
      <c r="K86" t="s">
        <v>779</v>
      </c>
      <c r="L86">
        <f t="shared" si="24"/>
        <v>5.35</v>
      </c>
      <c r="M86">
        <f t="shared" si="25"/>
        <v>5.35</v>
      </c>
      <c r="N86">
        <f t="shared" si="26"/>
        <v>5.35</v>
      </c>
      <c r="O86">
        <f t="shared" si="27"/>
        <v>5.3</v>
      </c>
      <c r="P86" s="18">
        <f t="shared" si="32"/>
        <v>5.3374999999999995</v>
      </c>
      <c r="Q86" s="18">
        <f t="shared" si="33"/>
        <v>-0.12374999999999936</v>
      </c>
      <c r="R86" s="18">
        <f t="shared" si="28"/>
        <v>1.1249999999999538E-2</v>
      </c>
      <c r="S86" s="18">
        <f t="shared" si="29"/>
        <v>1.8749999999998046E-2</v>
      </c>
      <c r="T86" s="18">
        <f t="shared" si="30"/>
        <v>2.8749999999999609E-2</v>
      </c>
      <c r="U86" s="18">
        <f t="shared" si="31"/>
        <v>-5.8750000000000746E-2</v>
      </c>
    </row>
    <row r="87" spans="2:21">
      <c r="B87" t="s">
        <v>780</v>
      </c>
      <c r="C87">
        <v>5.4</v>
      </c>
      <c r="D87">
        <v>5.5</v>
      </c>
      <c r="E87">
        <v>5.5</v>
      </c>
      <c r="F87">
        <v>5.3</v>
      </c>
      <c r="G87">
        <v>5.4</v>
      </c>
      <c r="H87">
        <v>5.4</v>
      </c>
      <c r="I87">
        <v>5.4</v>
      </c>
      <c r="J87">
        <v>5.3</v>
      </c>
      <c r="K87" t="s">
        <v>780</v>
      </c>
      <c r="L87">
        <f t="shared" si="24"/>
        <v>5.45</v>
      </c>
      <c r="M87">
        <f t="shared" si="25"/>
        <v>5.4</v>
      </c>
      <c r="N87">
        <f t="shared" si="26"/>
        <v>5.4</v>
      </c>
      <c r="O87">
        <f t="shared" si="27"/>
        <v>5.35</v>
      </c>
      <c r="P87" s="18">
        <f t="shared" si="32"/>
        <v>5.4</v>
      </c>
      <c r="Q87" s="18">
        <f t="shared" si="33"/>
        <v>-6.1249999999998472E-2</v>
      </c>
      <c r="R87" s="18">
        <f t="shared" si="28"/>
        <v>4.8749999999999183E-2</v>
      </c>
      <c r="S87" s="18">
        <f t="shared" si="29"/>
        <v>6.2499999999978684E-3</v>
      </c>
      <c r="T87" s="18">
        <f t="shared" si="30"/>
        <v>1.6249999999999432E-2</v>
      </c>
      <c r="U87" s="18">
        <f t="shared" si="31"/>
        <v>-7.1250000000001812E-2</v>
      </c>
    </row>
    <row r="88" spans="2:21">
      <c r="B88" t="s">
        <v>1018</v>
      </c>
      <c r="C88">
        <v>5.5</v>
      </c>
      <c r="D88">
        <v>5.5</v>
      </c>
      <c r="E88">
        <v>5.5</v>
      </c>
      <c r="F88">
        <v>5.4</v>
      </c>
      <c r="G88">
        <v>5.3</v>
      </c>
      <c r="H88">
        <v>5.5</v>
      </c>
      <c r="I88">
        <v>5.5</v>
      </c>
      <c r="J88">
        <v>5.4</v>
      </c>
      <c r="K88" t="s">
        <v>1018</v>
      </c>
      <c r="L88">
        <f t="shared" si="24"/>
        <v>5.5</v>
      </c>
      <c r="M88">
        <f t="shared" si="25"/>
        <v>5.45</v>
      </c>
      <c r="N88">
        <f t="shared" si="26"/>
        <v>5.4</v>
      </c>
      <c r="O88">
        <f t="shared" si="27"/>
        <v>5.45</v>
      </c>
      <c r="P88" s="18">
        <f t="shared" si="32"/>
        <v>5.45</v>
      </c>
      <c r="Q88" s="18">
        <f t="shared" si="33"/>
        <v>-1.124999999999865E-2</v>
      </c>
      <c r="R88" s="18">
        <f t="shared" si="28"/>
        <v>4.8749999999999183E-2</v>
      </c>
      <c r="S88" s="18">
        <f t="shared" si="29"/>
        <v>6.2499999999978684E-3</v>
      </c>
      <c r="T88" s="18">
        <f t="shared" si="30"/>
        <v>-3.3750000000000391E-2</v>
      </c>
      <c r="U88" s="18">
        <f t="shared" si="31"/>
        <v>-2.1250000000001101E-2</v>
      </c>
    </row>
    <row r="89" spans="2:21">
      <c r="B89" t="s">
        <v>1019</v>
      </c>
      <c r="C89">
        <v>5.7</v>
      </c>
      <c r="D89">
        <v>5.7</v>
      </c>
      <c r="E89">
        <v>5.7</v>
      </c>
      <c r="F89">
        <v>5.7</v>
      </c>
      <c r="G89">
        <v>5.7</v>
      </c>
      <c r="H89">
        <v>5.7</v>
      </c>
      <c r="I89">
        <v>5.8</v>
      </c>
      <c r="J89">
        <v>5.6</v>
      </c>
      <c r="K89" t="s">
        <v>1019</v>
      </c>
      <c r="L89">
        <f t="shared" si="24"/>
        <v>5.7</v>
      </c>
      <c r="M89">
        <f t="shared" si="25"/>
        <v>5.7</v>
      </c>
      <c r="N89">
        <f t="shared" si="26"/>
        <v>5.7</v>
      </c>
      <c r="O89">
        <f t="shared" si="27"/>
        <v>5.6999999999999993</v>
      </c>
      <c r="P89" s="18">
        <f t="shared" si="32"/>
        <v>5.7</v>
      </c>
      <c r="Q89" s="18">
        <f t="shared" si="33"/>
        <v>0.23875000000000135</v>
      </c>
      <c r="R89" s="18">
        <f t="shared" si="28"/>
        <v>-1.2500000000006395E-3</v>
      </c>
      <c r="S89" s="18">
        <f t="shared" si="29"/>
        <v>6.2499999999978684E-3</v>
      </c>
      <c r="T89" s="18">
        <f t="shared" si="30"/>
        <v>1.6249999999999432E-2</v>
      </c>
      <c r="U89" s="18">
        <f t="shared" si="31"/>
        <v>-2.125000000000199E-2</v>
      </c>
    </row>
    <row r="90" spans="2:21">
      <c r="B90" t="s">
        <v>1020</v>
      </c>
      <c r="C90">
        <v>5.0999999999999996</v>
      </c>
      <c r="D90">
        <v>5.2</v>
      </c>
      <c r="E90">
        <v>5.2</v>
      </c>
      <c r="F90">
        <v>5.2</v>
      </c>
      <c r="G90">
        <v>5.2</v>
      </c>
      <c r="H90">
        <v>5.0999999999999996</v>
      </c>
      <c r="I90">
        <v>5.0999999999999996</v>
      </c>
      <c r="J90">
        <v>5.0999999999999996</v>
      </c>
      <c r="K90" t="s">
        <v>1020</v>
      </c>
      <c r="L90">
        <f t="shared" si="24"/>
        <v>5.15</v>
      </c>
      <c r="M90">
        <f t="shared" si="25"/>
        <v>5.2</v>
      </c>
      <c r="N90">
        <f t="shared" si="26"/>
        <v>5.15</v>
      </c>
      <c r="O90">
        <f t="shared" si="27"/>
        <v>5.0999999999999996</v>
      </c>
      <c r="P90" s="18">
        <f t="shared" si="32"/>
        <v>5.15</v>
      </c>
      <c r="Q90" s="18">
        <f t="shared" si="33"/>
        <v>-0.31124999999999847</v>
      </c>
      <c r="R90" s="18">
        <f t="shared" si="28"/>
        <v>-1.2500000000006395E-3</v>
      </c>
      <c r="S90" s="18">
        <f t="shared" si="29"/>
        <v>5.6249999999997691E-2</v>
      </c>
      <c r="T90" s="18">
        <f t="shared" si="30"/>
        <v>1.6249999999999432E-2</v>
      </c>
      <c r="U90" s="18">
        <f t="shared" si="31"/>
        <v>-7.1250000000001812E-2</v>
      </c>
    </row>
    <row r="91" spans="2:21">
      <c r="B91" t="s">
        <v>1021</v>
      </c>
      <c r="C91">
        <v>5.0999999999999996</v>
      </c>
      <c r="D91">
        <v>5.3</v>
      </c>
      <c r="E91">
        <v>5.2</v>
      </c>
      <c r="F91">
        <v>5.2</v>
      </c>
      <c r="G91">
        <v>5.3</v>
      </c>
      <c r="H91">
        <v>5.2</v>
      </c>
      <c r="I91">
        <v>5.4</v>
      </c>
      <c r="J91">
        <v>5.3</v>
      </c>
      <c r="K91" t="s">
        <v>1021</v>
      </c>
      <c r="L91">
        <f t="shared" si="24"/>
        <v>5.1999999999999993</v>
      </c>
      <c r="M91">
        <f t="shared" si="25"/>
        <v>5.2</v>
      </c>
      <c r="N91">
        <f t="shared" si="26"/>
        <v>5.25</v>
      </c>
      <c r="O91">
        <f t="shared" si="27"/>
        <v>5.35</v>
      </c>
      <c r="P91" s="18">
        <f t="shared" si="32"/>
        <v>5.25</v>
      </c>
      <c r="Q91" s="18">
        <f t="shared" si="33"/>
        <v>-0.21124999999999883</v>
      </c>
      <c r="R91" s="18">
        <f t="shared" si="28"/>
        <v>-5.125000000000135E-2</v>
      </c>
      <c r="S91" s="18">
        <f t="shared" si="29"/>
        <v>-4.3750000000001954E-2</v>
      </c>
      <c r="T91" s="18">
        <f t="shared" si="30"/>
        <v>1.6249999999999432E-2</v>
      </c>
      <c r="U91" s="18">
        <f t="shared" si="31"/>
        <v>7.8749999999998543E-2</v>
      </c>
    </row>
    <row r="92" spans="2:21">
      <c r="B92" t="s">
        <v>1022</v>
      </c>
      <c r="C92">
        <v>5</v>
      </c>
      <c r="D92">
        <v>4.8</v>
      </c>
      <c r="E92">
        <v>4.7</v>
      </c>
      <c r="F92">
        <v>4.9000000000000004</v>
      </c>
      <c r="G92">
        <v>4.8</v>
      </c>
      <c r="H92">
        <v>4.8</v>
      </c>
      <c r="I92">
        <v>5.5</v>
      </c>
      <c r="J92">
        <v>5.3</v>
      </c>
      <c r="K92" t="s">
        <v>1022</v>
      </c>
      <c r="L92">
        <f t="shared" si="24"/>
        <v>4.9000000000000004</v>
      </c>
      <c r="M92">
        <f t="shared" si="25"/>
        <v>4.8000000000000007</v>
      </c>
      <c r="N92">
        <f t="shared" si="26"/>
        <v>4.8</v>
      </c>
      <c r="O92">
        <f t="shared" si="27"/>
        <v>5.4</v>
      </c>
      <c r="P92" s="18">
        <f t="shared" si="32"/>
        <v>4.9749999999999996</v>
      </c>
      <c r="Q92" s="18">
        <f t="shared" si="33"/>
        <v>-0.48624999999999918</v>
      </c>
      <c r="R92" s="18">
        <f t="shared" si="28"/>
        <v>-7.6249999999999929E-2</v>
      </c>
      <c r="S92" s="18">
        <f t="shared" si="29"/>
        <v>-0.16875000000000107</v>
      </c>
      <c r="T92" s="18">
        <f t="shared" si="30"/>
        <v>-0.15875000000000039</v>
      </c>
      <c r="U92" s="18">
        <f t="shared" si="31"/>
        <v>0.40374999999999961</v>
      </c>
    </row>
    <row r="93" spans="2:21">
      <c r="B93" t="s">
        <v>1023</v>
      </c>
      <c r="C93">
        <v>5.7</v>
      </c>
      <c r="D93">
        <v>5.7</v>
      </c>
      <c r="E93">
        <v>5.8</v>
      </c>
      <c r="F93">
        <v>5.7</v>
      </c>
      <c r="G93">
        <v>5.6</v>
      </c>
      <c r="H93">
        <v>5.7</v>
      </c>
      <c r="I93">
        <v>5.7</v>
      </c>
      <c r="J93">
        <v>5.7</v>
      </c>
      <c r="K93" t="s">
        <v>1023</v>
      </c>
      <c r="L93">
        <f t="shared" si="24"/>
        <v>5.7</v>
      </c>
      <c r="M93">
        <f t="shared" si="25"/>
        <v>5.75</v>
      </c>
      <c r="N93">
        <f t="shared" si="26"/>
        <v>5.65</v>
      </c>
      <c r="O93">
        <f t="shared" si="27"/>
        <v>5.7</v>
      </c>
      <c r="P93" s="18">
        <f t="shared" si="32"/>
        <v>5.7</v>
      </c>
      <c r="Q93" s="18">
        <f t="shared" si="33"/>
        <v>0.23875000000000135</v>
      </c>
      <c r="R93" s="18">
        <f t="shared" si="28"/>
        <v>-1.2500000000006395E-3</v>
      </c>
      <c r="S93" s="18">
        <f t="shared" si="29"/>
        <v>5.6249999999997691E-2</v>
      </c>
      <c r="T93" s="18">
        <f t="shared" si="30"/>
        <v>-3.3750000000000391E-2</v>
      </c>
      <c r="U93" s="18">
        <f t="shared" si="31"/>
        <v>-2.1250000000001101E-2</v>
      </c>
    </row>
    <row r="94" spans="2:21">
      <c r="B94" t="s">
        <v>1024</v>
      </c>
      <c r="C94">
        <v>5</v>
      </c>
      <c r="D94">
        <v>4.9000000000000004</v>
      </c>
      <c r="E94">
        <v>4.9000000000000004</v>
      </c>
      <c r="F94">
        <v>5</v>
      </c>
      <c r="G94">
        <v>4.9000000000000004</v>
      </c>
      <c r="H94">
        <v>5.0999999999999996</v>
      </c>
      <c r="I94">
        <v>4.9000000000000004</v>
      </c>
      <c r="J94">
        <v>4.9000000000000004</v>
      </c>
      <c r="K94" t="s">
        <v>1024</v>
      </c>
      <c r="L94">
        <f t="shared" si="24"/>
        <v>4.95</v>
      </c>
      <c r="M94">
        <f t="shared" si="25"/>
        <v>4.95</v>
      </c>
      <c r="N94">
        <f t="shared" si="26"/>
        <v>5</v>
      </c>
      <c r="O94">
        <f t="shared" si="27"/>
        <v>4.9000000000000004</v>
      </c>
      <c r="P94" s="18">
        <f t="shared" si="32"/>
        <v>4.95</v>
      </c>
      <c r="Q94" s="18">
        <f t="shared" si="33"/>
        <v>-0.51124999999999865</v>
      </c>
      <c r="R94" s="18">
        <f t="shared" si="28"/>
        <v>-1.2500000000006395E-3</v>
      </c>
      <c r="S94" s="18">
        <f t="shared" si="29"/>
        <v>6.2499999999978684E-3</v>
      </c>
      <c r="T94" s="18">
        <f t="shared" si="30"/>
        <v>6.6249999999999254E-2</v>
      </c>
      <c r="U94" s="18">
        <f t="shared" si="31"/>
        <v>-7.1250000000000924E-2</v>
      </c>
    </row>
    <row r="95" spans="2:21">
      <c r="B95" t="s">
        <v>1025</v>
      </c>
      <c r="C95">
        <v>5.8</v>
      </c>
      <c r="D95">
        <v>5.9</v>
      </c>
      <c r="E95">
        <v>5.9</v>
      </c>
      <c r="F95">
        <v>5.9</v>
      </c>
      <c r="G95">
        <v>5.9</v>
      </c>
      <c r="H95">
        <v>5.9</v>
      </c>
      <c r="I95">
        <v>6</v>
      </c>
      <c r="J95">
        <v>5.9</v>
      </c>
      <c r="K95" t="s">
        <v>1025</v>
      </c>
      <c r="L95">
        <f t="shared" si="24"/>
        <v>5.85</v>
      </c>
      <c r="M95">
        <f t="shared" si="25"/>
        <v>5.9</v>
      </c>
      <c r="N95">
        <f t="shared" si="26"/>
        <v>5.9</v>
      </c>
      <c r="O95">
        <f t="shared" si="27"/>
        <v>5.95</v>
      </c>
      <c r="P95" s="18">
        <f t="shared" si="32"/>
        <v>5.8999999999999995</v>
      </c>
      <c r="Q95" s="18">
        <f t="shared" si="33"/>
        <v>0.43875000000000064</v>
      </c>
      <c r="R95" s="18">
        <f t="shared" si="28"/>
        <v>-5.1250000000000462E-2</v>
      </c>
      <c r="S95" s="18">
        <f t="shared" si="29"/>
        <v>6.2499999999987566E-3</v>
      </c>
      <c r="T95" s="18">
        <f t="shared" si="30"/>
        <v>1.625000000000032E-2</v>
      </c>
      <c r="U95" s="18">
        <f t="shared" si="31"/>
        <v>2.8749999999999609E-2</v>
      </c>
    </row>
    <row r="96" spans="2:21">
      <c r="B96" t="s">
        <v>1026</v>
      </c>
      <c r="C96">
        <v>5.4</v>
      </c>
      <c r="D96">
        <v>5.6</v>
      </c>
      <c r="E96">
        <v>5.5</v>
      </c>
      <c r="F96">
        <v>5.5</v>
      </c>
      <c r="G96">
        <v>5.6</v>
      </c>
      <c r="H96">
        <v>5.5</v>
      </c>
      <c r="I96">
        <v>5.5</v>
      </c>
      <c r="J96">
        <v>5.6</v>
      </c>
      <c r="K96" t="s">
        <v>1026</v>
      </c>
      <c r="L96">
        <f t="shared" si="24"/>
        <v>5.5</v>
      </c>
      <c r="M96">
        <f t="shared" si="25"/>
        <v>5.5</v>
      </c>
      <c r="N96">
        <f t="shared" si="26"/>
        <v>5.55</v>
      </c>
      <c r="O96">
        <f t="shared" si="27"/>
        <v>5.55</v>
      </c>
      <c r="P96" s="18">
        <f t="shared" si="32"/>
        <v>5.5250000000000004</v>
      </c>
      <c r="Q96" s="18">
        <f t="shared" si="33"/>
        <v>6.3750000000001528E-2</v>
      </c>
      <c r="R96" s="18">
        <f t="shared" si="28"/>
        <v>-2.6250000000000995E-2</v>
      </c>
      <c r="S96" s="18">
        <f t="shared" si="29"/>
        <v>-1.8750000000002487E-2</v>
      </c>
      <c r="T96" s="18">
        <f t="shared" si="30"/>
        <v>4.1249999999998899E-2</v>
      </c>
      <c r="U96" s="18">
        <f t="shared" si="31"/>
        <v>3.7499999999983658E-3</v>
      </c>
    </row>
    <row r="97" spans="1:21">
      <c r="B97" t="s">
        <v>1027</v>
      </c>
      <c r="C97">
        <v>4.9000000000000004</v>
      </c>
      <c r="D97">
        <v>4.8</v>
      </c>
      <c r="E97">
        <v>4.9000000000000004</v>
      </c>
      <c r="F97">
        <v>4.8</v>
      </c>
      <c r="G97">
        <v>4.5999999999999996</v>
      </c>
      <c r="H97">
        <v>4.9000000000000004</v>
      </c>
      <c r="I97">
        <v>4.9000000000000004</v>
      </c>
      <c r="J97">
        <v>4.9000000000000004</v>
      </c>
      <c r="K97" t="s">
        <v>1027</v>
      </c>
      <c r="L97">
        <f t="shared" si="24"/>
        <v>4.8499999999999996</v>
      </c>
      <c r="M97">
        <f t="shared" si="25"/>
        <v>4.8499999999999996</v>
      </c>
      <c r="N97">
        <f t="shared" si="26"/>
        <v>4.75</v>
      </c>
      <c r="O97">
        <f t="shared" si="27"/>
        <v>4.9000000000000004</v>
      </c>
      <c r="P97" s="18">
        <f t="shared" si="32"/>
        <v>4.8375000000000004</v>
      </c>
      <c r="Q97" s="18">
        <f t="shared" si="33"/>
        <v>-0.62374999999999847</v>
      </c>
      <c r="R97" s="18">
        <f t="shared" si="28"/>
        <v>1.124999999999865E-2</v>
      </c>
      <c r="S97" s="18">
        <f t="shared" si="29"/>
        <v>1.8749999999997158E-2</v>
      </c>
      <c r="T97" s="18">
        <f t="shared" si="30"/>
        <v>-7.1250000000000924E-2</v>
      </c>
      <c r="U97" s="18">
        <f t="shared" si="31"/>
        <v>4.1249999999998899E-2</v>
      </c>
    </row>
    <row r="98" spans="1:21">
      <c r="B98" t="s">
        <v>1028</v>
      </c>
      <c r="C98">
        <v>5.6</v>
      </c>
      <c r="D98">
        <v>5.6</v>
      </c>
      <c r="E98">
        <v>5.7</v>
      </c>
      <c r="F98">
        <v>5.6</v>
      </c>
      <c r="G98">
        <v>5.5</v>
      </c>
      <c r="H98">
        <v>5.7</v>
      </c>
      <c r="I98">
        <v>5.5</v>
      </c>
      <c r="J98">
        <v>5.4</v>
      </c>
      <c r="K98" t="s">
        <v>1028</v>
      </c>
      <c r="L98">
        <f t="shared" si="24"/>
        <v>5.6</v>
      </c>
      <c r="M98">
        <f t="shared" si="25"/>
        <v>5.65</v>
      </c>
      <c r="N98">
        <f t="shared" si="26"/>
        <v>5.6</v>
      </c>
      <c r="O98">
        <f t="shared" si="27"/>
        <v>5.45</v>
      </c>
      <c r="P98" s="18">
        <f t="shared" si="32"/>
        <v>5.5750000000000002</v>
      </c>
      <c r="Q98" s="18">
        <f t="shared" si="33"/>
        <v>0.11375000000000135</v>
      </c>
      <c r="R98" s="18">
        <f t="shared" si="28"/>
        <v>2.3749999999998828E-2</v>
      </c>
      <c r="S98" s="18">
        <f t="shared" si="29"/>
        <v>8.1249999999998046E-2</v>
      </c>
      <c r="T98" s="18">
        <f t="shared" si="30"/>
        <v>4.1249999999998899E-2</v>
      </c>
      <c r="U98" s="18">
        <f t="shared" si="31"/>
        <v>-0.1462500000000011</v>
      </c>
    </row>
    <row r="99" spans="1:21">
      <c r="B99" t="s">
        <v>1029</v>
      </c>
      <c r="C99">
        <v>6</v>
      </c>
      <c r="D99">
        <v>6.1</v>
      </c>
      <c r="E99">
        <v>6.1</v>
      </c>
      <c r="F99">
        <v>5.9</v>
      </c>
      <c r="G99">
        <v>6</v>
      </c>
      <c r="H99">
        <v>6</v>
      </c>
      <c r="I99">
        <v>5.9</v>
      </c>
      <c r="J99">
        <v>5.8</v>
      </c>
      <c r="K99" t="s">
        <v>1029</v>
      </c>
      <c r="L99">
        <f t="shared" si="24"/>
        <v>6.05</v>
      </c>
      <c r="M99">
        <f t="shared" si="25"/>
        <v>6</v>
      </c>
      <c r="N99">
        <f t="shared" si="26"/>
        <v>6</v>
      </c>
      <c r="O99">
        <f t="shared" si="27"/>
        <v>5.85</v>
      </c>
      <c r="P99" s="18">
        <f t="shared" si="32"/>
        <v>5.9749999999999996</v>
      </c>
      <c r="Q99" s="18">
        <f t="shared" si="33"/>
        <v>0.51375000000000082</v>
      </c>
      <c r="R99" s="18">
        <f t="shared" si="28"/>
        <v>7.3749999999999538E-2</v>
      </c>
      <c r="S99" s="18">
        <f t="shared" si="29"/>
        <v>3.1249999999998224E-2</v>
      </c>
      <c r="T99" s="18">
        <f t="shared" si="30"/>
        <v>4.1249999999999787E-2</v>
      </c>
      <c r="U99" s="18">
        <f t="shared" si="31"/>
        <v>-0.1462500000000011</v>
      </c>
    </row>
    <row r="100" spans="1:21">
      <c r="B100" t="s">
        <v>1030</v>
      </c>
      <c r="C100">
        <v>5</v>
      </c>
      <c r="D100">
        <v>4.9000000000000004</v>
      </c>
      <c r="E100">
        <v>4.9000000000000004</v>
      </c>
      <c r="F100">
        <v>5.0999999999999996</v>
      </c>
      <c r="G100">
        <v>5.0999999999999996</v>
      </c>
      <c r="H100">
        <v>4.9000000000000004</v>
      </c>
      <c r="I100">
        <v>5.0999999999999996</v>
      </c>
      <c r="J100">
        <v>5</v>
      </c>
      <c r="K100" t="s">
        <v>1030</v>
      </c>
      <c r="L100">
        <f t="shared" si="24"/>
        <v>4.95</v>
      </c>
      <c r="M100">
        <f t="shared" si="25"/>
        <v>5</v>
      </c>
      <c r="N100">
        <f t="shared" si="26"/>
        <v>5</v>
      </c>
      <c r="O100">
        <f t="shared" si="27"/>
        <v>5.05</v>
      </c>
      <c r="P100" s="18">
        <f t="shared" si="32"/>
        <v>5</v>
      </c>
      <c r="Q100" s="18">
        <f t="shared" si="33"/>
        <v>-0.46124999999999883</v>
      </c>
      <c r="R100" s="18">
        <f t="shared" si="28"/>
        <v>-5.1250000000000462E-2</v>
      </c>
      <c r="S100" s="18">
        <f t="shared" si="29"/>
        <v>6.2499999999978684E-3</v>
      </c>
      <c r="T100" s="18">
        <f t="shared" si="30"/>
        <v>1.6249999999999432E-2</v>
      </c>
      <c r="U100" s="18">
        <f t="shared" si="31"/>
        <v>2.8749999999998721E-2</v>
      </c>
    </row>
    <row r="101" spans="1:21">
      <c r="B101" t="s">
        <v>1031</v>
      </c>
      <c r="C101">
        <v>6.1</v>
      </c>
      <c r="D101">
        <v>5.9</v>
      </c>
      <c r="E101">
        <v>6.1</v>
      </c>
      <c r="F101">
        <v>5.9</v>
      </c>
      <c r="G101">
        <v>6</v>
      </c>
      <c r="H101">
        <v>6.1</v>
      </c>
      <c r="I101">
        <v>6</v>
      </c>
      <c r="J101">
        <v>6.1</v>
      </c>
      <c r="K101" t="s">
        <v>1031</v>
      </c>
      <c r="L101">
        <f t="shared" si="24"/>
        <v>6</v>
      </c>
      <c r="M101">
        <f t="shared" si="25"/>
        <v>6</v>
      </c>
      <c r="N101">
        <f t="shared" si="26"/>
        <v>6.05</v>
      </c>
      <c r="O101">
        <f t="shared" si="27"/>
        <v>6.05</v>
      </c>
      <c r="P101" s="18">
        <f t="shared" si="32"/>
        <v>6.0250000000000004</v>
      </c>
      <c r="Q101" s="18">
        <f t="shared" si="33"/>
        <v>0.56375000000000153</v>
      </c>
      <c r="R101" s="18">
        <f t="shared" si="28"/>
        <v>-2.6250000000000995E-2</v>
      </c>
      <c r="S101" s="18">
        <f t="shared" si="29"/>
        <v>-1.8750000000002487E-2</v>
      </c>
      <c r="T101" s="18">
        <f t="shared" si="30"/>
        <v>4.1249999999998899E-2</v>
      </c>
      <c r="U101" s="18">
        <f t="shared" si="31"/>
        <v>3.7499999999983658E-3</v>
      </c>
    </row>
    <row r="102" spans="1:21">
      <c r="K102" t="s">
        <v>1032</v>
      </c>
      <c r="L102" s="18">
        <f>AVERAGE(L82:L101)</f>
        <v>5.4624999999999995</v>
      </c>
      <c r="M102" s="18">
        <f t="shared" ref="M102:O102" si="34">AVERAGE(M82:M101)</f>
        <v>5.455000000000001</v>
      </c>
      <c r="N102" s="18">
        <f t="shared" si="34"/>
        <v>5.4449999999999994</v>
      </c>
      <c r="O102" s="18">
        <f t="shared" si="34"/>
        <v>5.4824999999999999</v>
      </c>
      <c r="P102" s="18">
        <f>AVERAGE(L82:O101)</f>
        <v>5.4612499999999988</v>
      </c>
      <c r="Q102" s="18"/>
      <c r="R102" s="18"/>
      <c r="S102" s="18"/>
      <c r="T102" s="18"/>
      <c r="U102" s="18"/>
    </row>
    <row r="103" spans="1:21">
      <c r="B103" t="s">
        <v>1033</v>
      </c>
      <c r="C103" t="s">
        <v>1034</v>
      </c>
      <c r="D103" t="s">
        <v>1035</v>
      </c>
      <c r="E103" t="s">
        <v>1036</v>
      </c>
      <c r="F103" t="s">
        <v>1037</v>
      </c>
      <c r="G103" t="s">
        <v>1270</v>
      </c>
      <c r="K103" t="s">
        <v>1038</v>
      </c>
      <c r="L103" s="18">
        <f>L102-$P$102</f>
        <v>1.2500000000006395E-3</v>
      </c>
      <c r="M103" s="18">
        <f t="shared" ref="M103:O103" si="35">M102-$P$102</f>
        <v>-6.2499999999978684E-3</v>
      </c>
      <c r="N103" s="18">
        <f t="shared" si="35"/>
        <v>-1.6249999999999432E-2</v>
      </c>
      <c r="O103" s="18">
        <f t="shared" si="35"/>
        <v>2.1250000000001101E-2</v>
      </c>
    </row>
    <row r="104" spans="1:21">
      <c r="B104" t="s">
        <v>1039</v>
      </c>
      <c r="C104">
        <v>19</v>
      </c>
      <c r="D104" s="13">
        <f>SUMSQ(Q82:Q101)*8</f>
        <v>22.954749999999994</v>
      </c>
      <c r="E104" s="13">
        <f>D104/C104</f>
        <v>1.208144736842105</v>
      </c>
      <c r="F104" s="13">
        <f>(E104-E107)/8</f>
        <v>0.15009621710525164</v>
      </c>
      <c r="G104" s="13">
        <f>F104/(F104+F106/4+F107/8)</f>
        <v>0.98837883062659992</v>
      </c>
    </row>
    <row r="105" spans="1:21">
      <c r="B105" t="s">
        <v>1040</v>
      </c>
      <c r="C105">
        <v>3</v>
      </c>
      <c r="D105" s="13">
        <f>SUMSQ(L103:O103)*40</f>
        <v>3.0250000000000131E-2</v>
      </c>
      <c r="E105" s="13">
        <f t="shared" ref="E105:E107" si="36">D105/C105</f>
        <v>1.0083333333333376E-2</v>
      </c>
      <c r="F105" s="80">
        <f>(E105-E107)/40</f>
        <v>6.7708333331040527E-5</v>
      </c>
    </row>
    <row r="106" spans="1:21">
      <c r="B106" t="s">
        <v>1041</v>
      </c>
      <c r="C106">
        <f>C104*C105</f>
        <v>57</v>
      </c>
      <c r="D106" s="13">
        <f>SUMSQ(R82:U101)*2</f>
        <v>0.80475000000000008</v>
      </c>
      <c r="E106" s="13">
        <f t="shared" si="36"/>
        <v>1.411842105263158E-2</v>
      </c>
      <c r="F106" s="13">
        <f>(E106-E107)/2</f>
        <v>3.3717105262699126E-3</v>
      </c>
    </row>
    <row r="107" spans="1:21">
      <c r="B107" t="s">
        <v>1042</v>
      </c>
      <c r="C107">
        <f>C108-C104-C105-C106</f>
        <v>80</v>
      </c>
      <c r="D107" s="13">
        <f>D108-D104-D105-D106</f>
        <v>0.59000000000734043</v>
      </c>
      <c r="E107" s="13">
        <f t="shared" si="36"/>
        <v>7.3750000000917552E-3</v>
      </c>
      <c r="F107" s="13">
        <f>E107</f>
        <v>7.3750000000917552E-3</v>
      </c>
    </row>
    <row r="108" spans="1:21">
      <c r="B108" t="s">
        <v>804</v>
      </c>
      <c r="C108">
        <v>159</v>
      </c>
      <c r="D108" s="13">
        <f>SUMSQ(C82:J101)-160*P102^2</f>
        <v>24.379750000007334</v>
      </c>
      <c r="E108" s="13"/>
      <c r="F108" s="13"/>
    </row>
    <row r="110" spans="1:21">
      <c r="A110" s="11" t="s">
        <v>1043</v>
      </c>
      <c r="C110" t="s">
        <v>1008</v>
      </c>
      <c r="E110" t="s">
        <v>1009</v>
      </c>
      <c r="G110" t="s">
        <v>1010</v>
      </c>
      <c r="I110" t="s">
        <v>1011</v>
      </c>
      <c r="R110" t="s">
        <v>786</v>
      </c>
    </row>
    <row r="111" spans="1:21">
      <c r="B111" t="s">
        <v>1800</v>
      </c>
      <c r="C111" t="s">
        <v>1044</v>
      </c>
      <c r="D111" t="s">
        <v>1013</v>
      </c>
      <c r="E111" t="s">
        <v>1014</v>
      </c>
      <c r="F111" t="s">
        <v>1013</v>
      </c>
      <c r="G111" t="s">
        <v>1014</v>
      </c>
      <c r="H111" t="s">
        <v>1013</v>
      </c>
      <c r="I111" t="s">
        <v>1014</v>
      </c>
      <c r="J111" t="s">
        <v>1013</v>
      </c>
      <c r="K111" t="s">
        <v>1045</v>
      </c>
      <c r="L111" t="s">
        <v>1046</v>
      </c>
      <c r="M111" t="s">
        <v>957</v>
      </c>
      <c r="N111" t="s">
        <v>958</v>
      </c>
      <c r="O111" t="s">
        <v>1015</v>
      </c>
      <c r="P111" t="s">
        <v>784</v>
      </c>
      <c r="Q111" t="s">
        <v>1047</v>
      </c>
      <c r="R111" t="s">
        <v>1046</v>
      </c>
      <c r="S111" t="s">
        <v>957</v>
      </c>
      <c r="T111" t="s">
        <v>958</v>
      </c>
      <c r="U111" t="s">
        <v>1015</v>
      </c>
    </row>
    <row r="112" spans="1:21">
      <c r="B112" t="s">
        <v>1017</v>
      </c>
      <c r="C112">
        <v>5.4</v>
      </c>
      <c r="D112">
        <v>5.5</v>
      </c>
      <c r="E112">
        <v>5.5</v>
      </c>
      <c r="F112">
        <v>5.4</v>
      </c>
      <c r="G112">
        <v>5.4</v>
      </c>
      <c r="H112">
        <v>5.4</v>
      </c>
      <c r="I112">
        <v>5.6</v>
      </c>
      <c r="J112">
        <v>5.4</v>
      </c>
      <c r="K112" t="s">
        <v>1017</v>
      </c>
      <c r="L112">
        <f t="shared" ref="L112:L131" si="37">AVERAGE(C112:D112)</f>
        <v>5.45</v>
      </c>
      <c r="M112">
        <f t="shared" ref="M112:M131" si="38">AVERAGE(E112:F112)</f>
        <v>5.45</v>
      </c>
      <c r="N112">
        <f t="shared" ref="N112:N131" si="39">AVERAGE(G112:H112)</f>
        <v>5.4</v>
      </c>
      <c r="O112">
        <f t="shared" ref="O112:O131" si="40">AVERAGE(I112:J112)</f>
        <v>5.5</v>
      </c>
      <c r="P112">
        <f>AVERAGE(L112:O112)</f>
        <v>5.45</v>
      </c>
      <c r="Q112">
        <f>P112-$P$102</f>
        <v>-1.124999999999865E-2</v>
      </c>
      <c r="R112">
        <f t="shared" ref="R112:R131" si="41">L112-$P$102-$Q112-L$103</f>
        <v>-1.2500000000006395E-3</v>
      </c>
      <c r="S112">
        <f t="shared" ref="S112:S131" si="42">M112-$P$102-$Q112-M$103</f>
        <v>6.2499999999978684E-3</v>
      </c>
      <c r="T112">
        <f t="shared" ref="T112:T131" si="43">N112-$P$102-$Q112-N$103</f>
        <v>-3.3750000000000391E-2</v>
      </c>
      <c r="U112">
        <f t="shared" ref="U112:U131" si="44">O112-$P$102-$Q112-O$103</f>
        <v>2.8749999999998721E-2</v>
      </c>
    </row>
    <row r="113" spans="2:21">
      <c r="B113" t="s">
        <v>776</v>
      </c>
      <c r="C113">
        <v>6.3</v>
      </c>
      <c r="D113">
        <v>6.4</v>
      </c>
      <c r="E113">
        <v>6.2</v>
      </c>
      <c r="F113">
        <v>6.1</v>
      </c>
      <c r="G113">
        <v>6.2</v>
      </c>
      <c r="H113">
        <v>6.3</v>
      </c>
      <c r="I113">
        <v>6.5</v>
      </c>
      <c r="J113">
        <v>6.3</v>
      </c>
      <c r="K113" t="s">
        <v>776</v>
      </c>
      <c r="L113">
        <f t="shared" si="37"/>
        <v>6.35</v>
      </c>
      <c r="M113">
        <f t="shared" si="38"/>
        <v>6.15</v>
      </c>
      <c r="N113">
        <f t="shared" si="39"/>
        <v>6.25</v>
      </c>
      <c r="O113">
        <f t="shared" si="40"/>
        <v>6.4</v>
      </c>
      <c r="P113">
        <f t="shared" ref="P113:P131" si="45">AVERAGE(L113:O113)</f>
        <v>6.2874999999999996</v>
      </c>
      <c r="Q113">
        <f t="shared" ref="Q113:Q131" si="46">P113-$P$102</f>
        <v>0.82625000000000082</v>
      </c>
      <c r="R113">
        <f t="shared" si="41"/>
        <v>6.1249999999999361E-2</v>
      </c>
      <c r="S113">
        <f t="shared" si="42"/>
        <v>-0.13125000000000142</v>
      </c>
      <c r="T113">
        <f t="shared" si="43"/>
        <v>-2.1250000000000213E-2</v>
      </c>
      <c r="U113">
        <f t="shared" si="44"/>
        <v>9.1249999999999609E-2</v>
      </c>
    </row>
    <row r="114" spans="2:21">
      <c r="B114" t="s">
        <v>777</v>
      </c>
      <c r="C114">
        <v>5.3</v>
      </c>
      <c r="D114">
        <v>5.4</v>
      </c>
      <c r="E114">
        <v>5.4</v>
      </c>
      <c r="F114">
        <v>5.3</v>
      </c>
      <c r="G114">
        <v>5.3</v>
      </c>
      <c r="H114">
        <v>5.2</v>
      </c>
      <c r="I114">
        <v>5.3</v>
      </c>
      <c r="J114">
        <v>5.4</v>
      </c>
      <c r="K114" t="s">
        <v>777</v>
      </c>
      <c r="L114">
        <f t="shared" si="37"/>
        <v>5.35</v>
      </c>
      <c r="M114">
        <f t="shared" si="38"/>
        <v>5.35</v>
      </c>
      <c r="N114">
        <f t="shared" si="39"/>
        <v>5.25</v>
      </c>
      <c r="O114">
        <f t="shared" si="40"/>
        <v>5.35</v>
      </c>
      <c r="P114">
        <f t="shared" si="45"/>
        <v>5.3249999999999993</v>
      </c>
      <c r="Q114">
        <f t="shared" si="46"/>
        <v>-0.13624999999999954</v>
      </c>
      <c r="R114">
        <f t="shared" si="41"/>
        <v>2.3749999999999716E-2</v>
      </c>
      <c r="S114">
        <f t="shared" si="42"/>
        <v>3.1249999999998224E-2</v>
      </c>
      <c r="T114">
        <f t="shared" si="43"/>
        <v>-5.8749999999999858E-2</v>
      </c>
      <c r="U114">
        <f t="shared" si="44"/>
        <v>3.7499999999992539E-3</v>
      </c>
    </row>
    <row r="115" spans="2:21">
      <c r="B115" t="s">
        <v>778</v>
      </c>
      <c r="C115">
        <v>5.4</v>
      </c>
      <c r="D115">
        <v>5.4</v>
      </c>
      <c r="E115">
        <v>5.4</v>
      </c>
      <c r="F115">
        <v>5.5</v>
      </c>
      <c r="G115">
        <v>5.5</v>
      </c>
      <c r="H115">
        <v>5.4</v>
      </c>
      <c r="I115">
        <v>5.4</v>
      </c>
      <c r="J115">
        <v>5.3</v>
      </c>
      <c r="K115" t="s">
        <v>778</v>
      </c>
      <c r="L115">
        <f t="shared" si="37"/>
        <v>5.4</v>
      </c>
      <c r="M115">
        <f t="shared" si="38"/>
        <v>5.45</v>
      </c>
      <c r="N115">
        <f t="shared" si="39"/>
        <v>5.45</v>
      </c>
      <c r="O115">
        <f t="shared" si="40"/>
        <v>5.35</v>
      </c>
      <c r="P115">
        <f t="shared" si="45"/>
        <v>5.4124999999999996</v>
      </c>
      <c r="Q115">
        <f t="shared" si="46"/>
        <v>-4.8749999999999183E-2</v>
      </c>
      <c r="R115">
        <f t="shared" si="41"/>
        <v>-1.3749999999999929E-2</v>
      </c>
      <c r="S115">
        <f t="shared" si="42"/>
        <v>4.3749999999998401E-2</v>
      </c>
      <c r="T115">
        <f t="shared" si="43"/>
        <v>5.3749999999999964E-2</v>
      </c>
      <c r="U115">
        <f t="shared" si="44"/>
        <v>-8.3750000000001101E-2</v>
      </c>
    </row>
    <row r="116" spans="2:21">
      <c r="B116" t="s">
        <v>779</v>
      </c>
      <c r="C116">
        <v>5.3</v>
      </c>
      <c r="D116">
        <v>5.4</v>
      </c>
      <c r="E116">
        <v>5.4</v>
      </c>
      <c r="F116">
        <v>5.3</v>
      </c>
      <c r="G116">
        <v>5.4</v>
      </c>
      <c r="H116">
        <v>5.3</v>
      </c>
      <c r="I116">
        <v>5.3</v>
      </c>
      <c r="J116">
        <v>5.3</v>
      </c>
      <c r="K116" t="s">
        <v>779</v>
      </c>
      <c r="L116">
        <f t="shared" si="37"/>
        <v>5.35</v>
      </c>
      <c r="M116">
        <f t="shared" si="38"/>
        <v>5.35</v>
      </c>
      <c r="N116">
        <f t="shared" si="39"/>
        <v>5.35</v>
      </c>
      <c r="O116">
        <f t="shared" si="40"/>
        <v>5.3</v>
      </c>
      <c r="P116">
        <f t="shared" si="45"/>
        <v>5.3374999999999995</v>
      </c>
      <c r="Q116">
        <f t="shared" si="46"/>
        <v>-0.12374999999999936</v>
      </c>
      <c r="R116">
        <f t="shared" si="41"/>
        <v>1.1249999999999538E-2</v>
      </c>
      <c r="S116">
        <f t="shared" si="42"/>
        <v>1.8749999999998046E-2</v>
      </c>
      <c r="T116">
        <f t="shared" si="43"/>
        <v>2.8749999999999609E-2</v>
      </c>
      <c r="U116">
        <f t="shared" si="44"/>
        <v>-5.8750000000000746E-2</v>
      </c>
    </row>
    <row r="117" spans="2:21">
      <c r="B117" t="s">
        <v>780</v>
      </c>
      <c r="C117">
        <v>5.4</v>
      </c>
      <c r="D117">
        <v>5.5</v>
      </c>
      <c r="E117">
        <v>5.5</v>
      </c>
      <c r="F117">
        <v>5.3</v>
      </c>
      <c r="G117">
        <v>5.4</v>
      </c>
      <c r="H117">
        <v>5.4</v>
      </c>
      <c r="I117">
        <v>5.4</v>
      </c>
      <c r="J117">
        <v>5.3</v>
      </c>
      <c r="K117" t="s">
        <v>780</v>
      </c>
      <c r="L117">
        <f t="shared" si="37"/>
        <v>5.45</v>
      </c>
      <c r="M117">
        <f t="shared" si="38"/>
        <v>5.4</v>
      </c>
      <c r="N117">
        <f t="shared" si="39"/>
        <v>5.4</v>
      </c>
      <c r="O117">
        <f t="shared" si="40"/>
        <v>5.35</v>
      </c>
      <c r="P117">
        <f t="shared" si="45"/>
        <v>5.4</v>
      </c>
      <c r="Q117">
        <f t="shared" si="46"/>
        <v>-6.1249999999998472E-2</v>
      </c>
      <c r="R117">
        <f t="shared" si="41"/>
        <v>4.8749999999999183E-2</v>
      </c>
      <c r="S117">
        <f t="shared" si="42"/>
        <v>6.2499999999978684E-3</v>
      </c>
      <c r="T117">
        <f t="shared" si="43"/>
        <v>1.6249999999999432E-2</v>
      </c>
      <c r="U117">
        <f t="shared" si="44"/>
        <v>-7.1250000000001812E-2</v>
      </c>
    </row>
    <row r="118" spans="2:21">
      <c r="B118" t="s">
        <v>1018</v>
      </c>
      <c r="C118">
        <v>5.5</v>
      </c>
      <c r="D118">
        <v>5.5</v>
      </c>
      <c r="E118">
        <v>5.5</v>
      </c>
      <c r="F118">
        <v>5.4</v>
      </c>
      <c r="G118">
        <v>5.3</v>
      </c>
      <c r="H118">
        <v>5.5</v>
      </c>
      <c r="I118">
        <v>5.5</v>
      </c>
      <c r="J118">
        <v>5.4</v>
      </c>
      <c r="K118" t="s">
        <v>1018</v>
      </c>
      <c r="L118">
        <f t="shared" si="37"/>
        <v>5.5</v>
      </c>
      <c r="M118">
        <f t="shared" si="38"/>
        <v>5.45</v>
      </c>
      <c r="N118">
        <f t="shared" si="39"/>
        <v>5.4</v>
      </c>
      <c r="O118">
        <f t="shared" si="40"/>
        <v>5.45</v>
      </c>
      <c r="P118">
        <f t="shared" si="45"/>
        <v>5.45</v>
      </c>
      <c r="Q118">
        <f t="shared" si="46"/>
        <v>-1.124999999999865E-2</v>
      </c>
      <c r="R118">
        <f t="shared" si="41"/>
        <v>4.8749999999999183E-2</v>
      </c>
      <c r="S118">
        <f t="shared" si="42"/>
        <v>6.2499999999978684E-3</v>
      </c>
      <c r="T118">
        <f t="shared" si="43"/>
        <v>-3.3750000000000391E-2</v>
      </c>
      <c r="U118">
        <f t="shared" si="44"/>
        <v>-2.1250000000001101E-2</v>
      </c>
    </row>
    <row r="119" spans="2:21">
      <c r="B119" t="s">
        <v>1019</v>
      </c>
      <c r="C119">
        <v>5.7</v>
      </c>
      <c r="D119">
        <v>5.7</v>
      </c>
      <c r="E119">
        <v>5.7</v>
      </c>
      <c r="F119">
        <v>5.7</v>
      </c>
      <c r="G119">
        <v>5.7</v>
      </c>
      <c r="H119">
        <v>5.7</v>
      </c>
      <c r="I119">
        <v>5.8</v>
      </c>
      <c r="J119">
        <v>5.6</v>
      </c>
      <c r="K119" t="s">
        <v>1019</v>
      </c>
      <c r="L119">
        <f t="shared" si="37"/>
        <v>5.7</v>
      </c>
      <c r="M119">
        <f t="shared" si="38"/>
        <v>5.7</v>
      </c>
      <c r="N119">
        <f t="shared" si="39"/>
        <v>5.7</v>
      </c>
      <c r="O119">
        <f t="shared" si="40"/>
        <v>5.6999999999999993</v>
      </c>
      <c r="P119">
        <f t="shared" si="45"/>
        <v>5.7</v>
      </c>
      <c r="Q119">
        <f t="shared" si="46"/>
        <v>0.23875000000000135</v>
      </c>
      <c r="R119">
        <f t="shared" si="41"/>
        <v>-1.2500000000006395E-3</v>
      </c>
      <c r="S119">
        <f t="shared" si="42"/>
        <v>6.2499999999978684E-3</v>
      </c>
      <c r="T119">
        <f t="shared" si="43"/>
        <v>1.6249999999999432E-2</v>
      </c>
      <c r="U119">
        <f t="shared" si="44"/>
        <v>-2.125000000000199E-2</v>
      </c>
    </row>
    <row r="120" spans="2:21">
      <c r="B120" t="s">
        <v>1020</v>
      </c>
      <c r="C120">
        <v>5.0999999999999996</v>
      </c>
      <c r="D120">
        <v>5.2</v>
      </c>
      <c r="E120">
        <v>5.2</v>
      </c>
      <c r="F120">
        <v>5.2</v>
      </c>
      <c r="G120">
        <v>5.2</v>
      </c>
      <c r="H120">
        <v>5.0999999999999996</v>
      </c>
      <c r="I120">
        <v>5.0999999999999996</v>
      </c>
      <c r="J120">
        <v>5.0999999999999996</v>
      </c>
      <c r="K120" t="s">
        <v>1020</v>
      </c>
      <c r="L120">
        <f t="shared" si="37"/>
        <v>5.15</v>
      </c>
      <c r="M120">
        <f t="shared" si="38"/>
        <v>5.2</v>
      </c>
      <c r="N120">
        <f t="shared" si="39"/>
        <v>5.15</v>
      </c>
      <c r="O120">
        <f t="shared" si="40"/>
        <v>5.0999999999999996</v>
      </c>
      <c r="P120">
        <f t="shared" si="45"/>
        <v>5.15</v>
      </c>
      <c r="Q120">
        <f t="shared" si="46"/>
        <v>-0.31124999999999847</v>
      </c>
      <c r="R120">
        <f t="shared" si="41"/>
        <v>-1.2500000000006395E-3</v>
      </c>
      <c r="S120">
        <f t="shared" si="42"/>
        <v>5.6249999999997691E-2</v>
      </c>
      <c r="T120">
        <f t="shared" si="43"/>
        <v>1.6249999999999432E-2</v>
      </c>
      <c r="U120">
        <f t="shared" si="44"/>
        <v>-7.1250000000001812E-2</v>
      </c>
    </row>
    <row r="121" spans="2:21">
      <c r="B121" t="s">
        <v>1021</v>
      </c>
      <c r="C121">
        <v>5.0999999999999996</v>
      </c>
      <c r="D121">
        <v>5.3</v>
      </c>
      <c r="E121">
        <v>5.2</v>
      </c>
      <c r="F121">
        <v>5.2</v>
      </c>
      <c r="G121">
        <v>5.3</v>
      </c>
      <c r="H121">
        <v>5.2</v>
      </c>
      <c r="I121">
        <v>5.4</v>
      </c>
      <c r="J121">
        <v>5.3</v>
      </c>
      <c r="K121" t="s">
        <v>1021</v>
      </c>
      <c r="L121">
        <f t="shared" si="37"/>
        <v>5.1999999999999993</v>
      </c>
      <c r="M121">
        <f t="shared" si="38"/>
        <v>5.2</v>
      </c>
      <c r="N121">
        <f t="shared" si="39"/>
        <v>5.25</v>
      </c>
      <c r="O121">
        <f t="shared" si="40"/>
        <v>5.35</v>
      </c>
      <c r="P121">
        <f t="shared" si="45"/>
        <v>5.25</v>
      </c>
      <c r="Q121">
        <f t="shared" si="46"/>
        <v>-0.21124999999999883</v>
      </c>
      <c r="R121">
        <f t="shared" si="41"/>
        <v>-5.125000000000135E-2</v>
      </c>
      <c r="S121">
        <f t="shared" si="42"/>
        <v>-4.3750000000001954E-2</v>
      </c>
      <c r="T121">
        <f t="shared" si="43"/>
        <v>1.6249999999999432E-2</v>
      </c>
      <c r="U121">
        <f t="shared" si="44"/>
        <v>7.8749999999998543E-2</v>
      </c>
    </row>
    <row r="122" spans="2:21">
      <c r="B122" t="s">
        <v>1022</v>
      </c>
      <c r="C122">
        <v>5</v>
      </c>
      <c r="D122">
        <v>4.8</v>
      </c>
      <c r="E122">
        <v>4.7</v>
      </c>
      <c r="F122">
        <v>4.9000000000000004</v>
      </c>
      <c r="G122">
        <v>4.8</v>
      </c>
      <c r="H122">
        <v>4.8</v>
      </c>
      <c r="I122">
        <v>5.5</v>
      </c>
      <c r="J122">
        <v>5.3</v>
      </c>
      <c r="K122" t="s">
        <v>1022</v>
      </c>
      <c r="L122">
        <f t="shared" si="37"/>
        <v>4.9000000000000004</v>
      </c>
      <c r="M122">
        <f t="shared" si="38"/>
        <v>4.8000000000000007</v>
      </c>
      <c r="N122">
        <f t="shared" si="39"/>
        <v>4.8</v>
      </c>
      <c r="O122">
        <f t="shared" si="40"/>
        <v>5.4</v>
      </c>
      <c r="P122">
        <f t="shared" si="45"/>
        <v>4.9749999999999996</v>
      </c>
      <c r="Q122">
        <f t="shared" si="46"/>
        <v>-0.48624999999999918</v>
      </c>
      <c r="R122">
        <f t="shared" si="41"/>
        <v>-7.6249999999999929E-2</v>
      </c>
      <c r="S122">
        <f t="shared" si="42"/>
        <v>-0.16875000000000107</v>
      </c>
      <c r="T122">
        <f t="shared" si="43"/>
        <v>-0.15875000000000039</v>
      </c>
      <c r="U122">
        <f t="shared" si="44"/>
        <v>0.40374999999999961</v>
      </c>
    </row>
    <row r="123" spans="2:21">
      <c r="B123" t="s">
        <v>1023</v>
      </c>
      <c r="C123">
        <v>5.7</v>
      </c>
      <c r="D123">
        <v>5.7</v>
      </c>
      <c r="E123">
        <v>5.8</v>
      </c>
      <c r="F123">
        <v>5.7</v>
      </c>
      <c r="G123">
        <v>5.6</v>
      </c>
      <c r="H123">
        <v>5.7</v>
      </c>
      <c r="I123">
        <v>5.7</v>
      </c>
      <c r="J123">
        <v>5.7</v>
      </c>
      <c r="K123" t="s">
        <v>1023</v>
      </c>
      <c r="L123">
        <f t="shared" si="37"/>
        <v>5.7</v>
      </c>
      <c r="M123">
        <f t="shared" si="38"/>
        <v>5.75</v>
      </c>
      <c r="N123">
        <f t="shared" si="39"/>
        <v>5.65</v>
      </c>
      <c r="O123">
        <f t="shared" si="40"/>
        <v>5.7</v>
      </c>
      <c r="P123">
        <f t="shared" si="45"/>
        <v>5.7</v>
      </c>
      <c r="Q123">
        <f t="shared" si="46"/>
        <v>0.23875000000000135</v>
      </c>
      <c r="R123">
        <f t="shared" si="41"/>
        <v>-1.2500000000006395E-3</v>
      </c>
      <c r="S123">
        <f t="shared" si="42"/>
        <v>5.6249999999997691E-2</v>
      </c>
      <c r="T123">
        <f t="shared" si="43"/>
        <v>-3.3750000000000391E-2</v>
      </c>
      <c r="U123">
        <f t="shared" si="44"/>
        <v>-2.1250000000001101E-2</v>
      </c>
    </row>
    <row r="124" spans="2:21">
      <c r="B124" t="s">
        <v>1024</v>
      </c>
      <c r="C124">
        <v>5</v>
      </c>
      <c r="D124">
        <v>4.9000000000000004</v>
      </c>
      <c r="E124">
        <v>4.9000000000000004</v>
      </c>
      <c r="F124">
        <v>5</v>
      </c>
      <c r="G124">
        <v>4.9000000000000004</v>
      </c>
      <c r="H124">
        <v>5.0999999999999996</v>
      </c>
      <c r="I124">
        <v>4.9000000000000004</v>
      </c>
      <c r="J124">
        <v>4.9000000000000004</v>
      </c>
      <c r="K124" t="s">
        <v>1024</v>
      </c>
      <c r="L124">
        <f t="shared" si="37"/>
        <v>4.95</v>
      </c>
      <c r="M124">
        <f t="shared" si="38"/>
        <v>4.95</v>
      </c>
      <c r="N124">
        <f t="shared" si="39"/>
        <v>5</v>
      </c>
      <c r="O124">
        <f t="shared" si="40"/>
        <v>4.9000000000000004</v>
      </c>
      <c r="P124">
        <f t="shared" si="45"/>
        <v>4.95</v>
      </c>
      <c r="Q124">
        <f t="shared" si="46"/>
        <v>-0.51124999999999865</v>
      </c>
      <c r="R124">
        <f t="shared" si="41"/>
        <v>-1.2500000000006395E-3</v>
      </c>
      <c r="S124">
        <f t="shared" si="42"/>
        <v>6.2499999999978684E-3</v>
      </c>
      <c r="T124">
        <f t="shared" si="43"/>
        <v>6.6249999999999254E-2</v>
      </c>
      <c r="U124">
        <f t="shared" si="44"/>
        <v>-7.1250000000000924E-2</v>
      </c>
    </row>
    <row r="125" spans="2:21">
      <c r="B125" t="s">
        <v>1025</v>
      </c>
      <c r="C125">
        <v>5.8</v>
      </c>
      <c r="D125">
        <v>5.9</v>
      </c>
      <c r="E125">
        <v>5.9</v>
      </c>
      <c r="F125">
        <v>5.9</v>
      </c>
      <c r="G125">
        <v>5.9</v>
      </c>
      <c r="H125">
        <v>5.9</v>
      </c>
      <c r="I125">
        <v>6</v>
      </c>
      <c r="J125">
        <v>5.9</v>
      </c>
      <c r="K125" t="s">
        <v>1025</v>
      </c>
      <c r="L125">
        <f t="shared" si="37"/>
        <v>5.85</v>
      </c>
      <c r="M125">
        <f t="shared" si="38"/>
        <v>5.9</v>
      </c>
      <c r="N125">
        <f t="shared" si="39"/>
        <v>5.9</v>
      </c>
      <c r="O125">
        <f t="shared" si="40"/>
        <v>5.95</v>
      </c>
      <c r="P125">
        <f t="shared" si="45"/>
        <v>5.8999999999999995</v>
      </c>
      <c r="Q125">
        <f t="shared" si="46"/>
        <v>0.43875000000000064</v>
      </c>
      <c r="R125">
        <f t="shared" si="41"/>
        <v>-5.1250000000000462E-2</v>
      </c>
      <c r="S125">
        <f t="shared" si="42"/>
        <v>6.2499999999987566E-3</v>
      </c>
      <c r="T125">
        <f t="shared" si="43"/>
        <v>1.625000000000032E-2</v>
      </c>
      <c r="U125">
        <f t="shared" si="44"/>
        <v>2.8749999999999609E-2</v>
      </c>
    </row>
    <row r="126" spans="2:21">
      <c r="B126" t="s">
        <v>1026</v>
      </c>
      <c r="C126">
        <v>5.4</v>
      </c>
      <c r="D126">
        <v>5.6</v>
      </c>
      <c r="E126">
        <v>5.5</v>
      </c>
      <c r="F126">
        <v>5.5</v>
      </c>
      <c r="G126">
        <v>5.6</v>
      </c>
      <c r="H126">
        <v>5.5</v>
      </c>
      <c r="I126">
        <v>5.5</v>
      </c>
      <c r="J126">
        <v>5.6</v>
      </c>
      <c r="K126" t="s">
        <v>1026</v>
      </c>
      <c r="L126">
        <f t="shared" si="37"/>
        <v>5.5</v>
      </c>
      <c r="M126">
        <f t="shared" si="38"/>
        <v>5.5</v>
      </c>
      <c r="N126">
        <f t="shared" si="39"/>
        <v>5.55</v>
      </c>
      <c r="O126">
        <f t="shared" si="40"/>
        <v>5.55</v>
      </c>
      <c r="P126">
        <f t="shared" si="45"/>
        <v>5.5250000000000004</v>
      </c>
      <c r="Q126">
        <f t="shared" si="46"/>
        <v>6.3750000000001528E-2</v>
      </c>
      <c r="R126">
        <f t="shared" si="41"/>
        <v>-2.6250000000000995E-2</v>
      </c>
      <c r="S126">
        <f t="shared" si="42"/>
        <v>-1.8750000000002487E-2</v>
      </c>
      <c r="T126">
        <f t="shared" si="43"/>
        <v>4.1249999999998899E-2</v>
      </c>
      <c r="U126">
        <f t="shared" si="44"/>
        <v>3.7499999999983658E-3</v>
      </c>
    </row>
    <row r="127" spans="2:21">
      <c r="B127" t="s">
        <v>1027</v>
      </c>
      <c r="C127">
        <v>4.9000000000000004</v>
      </c>
      <c r="D127">
        <v>4.8</v>
      </c>
      <c r="E127">
        <v>4.9000000000000004</v>
      </c>
      <c r="F127">
        <v>4.8</v>
      </c>
      <c r="G127">
        <v>4.5999999999999996</v>
      </c>
      <c r="H127">
        <v>4.9000000000000004</v>
      </c>
      <c r="I127">
        <v>4.9000000000000004</v>
      </c>
      <c r="J127">
        <v>4.9000000000000004</v>
      </c>
      <c r="K127" t="s">
        <v>1027</v>
      </c>
      <c r="L127">
        <f t="shared" si="37"/>
        <v>4.8499999999999996</v>
      </c>
      <c r="M127">
        <f t="shared" si="38"/>
        <v>4.8499999999999996</v>
      </c>
      <c r="N127">
        <f t="shared" si="39"/>
        <v>4.75</v>
      </c>
      <c r="O127">
        <f t="shared" si="40"/>
        <v>4.9000000000000004</v>
      </c>
      <c r="P127">
        <f t="shared" si="45"/>
        <v>4.8375000000000004</v>
      </c>
      <c r="Q127">
        <f t="shared" si="46"/>
        <v>-0.62374999999999847</v>
      </c>
      <c r="R127">
        <f t="shared" si="41"/>
        <v>1.124999999999865E-2</v>
      </c>
      <c r="S127">
        <f t="shared" si="42"/>
        <v>1.8749999999997158E-2</v>
      </c>
      <c r="T127">
        <f t="shared" si="43"/>
        <v>-7.1250000000000924E-2</v>
      </c>
      <c r="U127">
        <f t="shared" si="44"/>
        <v>4.1249999999998899E-2</v>
      </c>
    </row>
    <row r="128" spans="2:21">
      <c r="B128" t="s">
        <v>1028</v>
      </c>
      <c r="C128">
        <v>5.6</v>
      </c>
      <c r="D128">
        <v>5.6</v>
      </c>
      <c r="E128">
        <v>5.7</v>
      </c>
      <c r="F128">
        <v>5.6</v>
      </c>
      <c r="G128">
        <v>5.5</v>
      </c>
      <c r="H128">
        <v>5.7</v>
      </c>
      <c r="I128">
        <v>5.5</v>
      </c>
      <c r="J128">
        <v>5.4</v>
      </c>
      <c r="K128" t="s">
        <v>1028</v>
      </c>
      <c r="L128">
        <f t="shared" si="37"/>
        <v>5.6</v>
      </c>
      <c r="M128">
        <f t="shared" si="38"/>
        <v>5.65</v>
      </c>
      <c r="N128">
        <f t="shared" si="39"/>
        <v>5.6</v>
      </c>
      <c r="O128">
        <f t="shared" si="40"/>
        <v>5.45</v>
      </c>
      <c r="P128">
        <f t="shared" si="45"/>
        <v>5.5750000000000002</v>
      </c>
      <c r="Q128">
        <f t="shared" si="46"/>
        <v>0.11375000000000135</v>
      </c>
      <c r="R128">
        <f t="shared" si="41"/>
        <v>2.3749999999998828E-2</v>
      </c>
      <c r="S128">
        <f t="shared" si="42"/>
        <v>8.1249999999998046E-2</v>
      </c>
      <c r="T128">
        <f t="shared" si="43"/>
        <v>4.1249999999998899E-2</v>
      </c>
      <c r="U128">
        <f t="shared" si="44"/>
        <v>-0.1462500000000011</v>
      </c>
    </row>
    <row r="129" spans="1:21">
      <c r="B129" t="s">
        <v>1029</v>
      </c>
      <c r="C129">
        <v>6</v>
      </c>
      <c r="D129">
        <v>6.1</v>
      </c>
      <c r="E129">
        <v>6.1</v>
      </c>
      <c r="F129">
        <v>5.9</v>
      </c>
      <c r="G129">
        <v>6</v>
      </c>
      <c r="H129">
        <v>6</v>
      </c>
      <c r="I129">
        <v>5.9</v>
      </c>
      <c r="J129">
        <v>5.8</v>
      </c>
      <c r="K129" t="s">
        <v>1029</v>
      </c>
      <c r="L129">
        <f t="shared" si="37"/>
        <v>6.05</v>
      </c>
      <c r="M129">
        <f t="shared" si="38"/>
        <v>6</v>
      </c>
      <c r="N129">
        <f t="shared" si="39"/>
        <v>6</v>
      </c>
      <c r="O129">
        <f t="shared" si="40"/>
        <v>5.85</v>
      </c>
      <c r="P129">
        <f t="shared" si="45"/>
        <v>5.9749999999999996</v>
      </c>
      <c r="Q129">
        <f t="shared" si="46"/>
        <v>0.51375000000000082</v>
      </c>
      <c r="R129">
        <f t="shared" si="41"/>
        <v>7.3749999999999538E-2</v>
      </c>
      <c r="S129">
        <f t="shared" si="42"/>
        <v>3.1249999999998224E-2</v>
      </c>
      <c r="T129">
        <f t="shared" si="43"/>
        <v>4.1249999999999787E-2</v>
      </c>
      <c r="U129">
        <f t="shared" si="44"/>
        <v>-0.1462500000000011</v>
      </c>
    </row>
    <row r="130" spans="1:21">
      <c r="B130" t="s">
        <v>1030</v>
      </c>
      <c r="C130">
        <v>5</v>
      </c>
      <c r="D130">
        <v>4.9000000000000004</v>
      </c>
      <c r="E130">
        <v>4.9000000000000004</v>
      </c>
      <c r="F130">
        <v>5.0999999999999996</v>
      </c>
      <c r="G130">
        <v>5.0999999999999996</v>
      </c>
      <c r="H130">
        <v>4.9000000000000004</v>
      </c>
      <c r="I130">
        <v>5.0999999999999996</v>
      </c>
      <c r="J130">
        <v>5</v>
      </c>
      <c r="K130" t="s">
        <v>1030</v>
      </c>
      <c r="L130">
        <f t="shared" si="37"/>
        <v>4.95</v>
      </c>
      <c r="M130">
        <f t="shared" si="38"/>
        <v>5</v>
      </c>
      <c r="N130">
        <f t="shared" si="39"/>
        <v>5</v>
      </c>
      <c r="O130">
        <f t="shared" si="40"/>
        <v>5.05</v>
      </c>
      <c r="P130">
        <f t="shared" si="45"/>
        <v>5</v>
      </c>
      <c r="Q130">
        <f t="shared" si="46"/>
        <v>-0.46124999999999883</v>
      </c>
      <c r="R130">
        <f t="shared" si="41"/>
        <v>-5.1250000000000462E-2</v>
      </c>
      <c r="S130">
        <f t="shared" si="42"/>
        <v>6.2499999999978684E-3</v>
      </c>
      <c r="T130">
        <f t="shared" si="43"/>
        <v>1.6249999999999432E-2</v>
      </c>
      <c r="U130">
        <f t="shared" si="44"/>
        <v>2.8749999999998721E-2</v>
      </c>
    </row>
    <row r="131" spans="1:21">
      <c r="B131" t="s">
        <v>1031</v>
      </c>
      <c r="C131">
        <v>6.1</v>
      </c>
      <c r="D131">
        <v>5.9</v>
      </c>
      <c r="E131">
        <v>6.1</v>
      </c>
      <c r="F131">
        <v>5.9</v>
      </c>
      <c r="G131">
        <v>6</v>
      </c>
      <c r="H131">
        <v>6.1</v>
      </c>
      <c r="I131">
        <v>6</v>
      </c>
      <c r="J131">
        <v>6.1</v>
      </c>
      <c r="K131" t="s">
        <v>1031</v>
      </c>
      <c r="L131">
        <f t="shared" si="37"/>
        <v>6</v>
      </c>
      <c r="M131">
        <f t="shared" si="38"/>
        <v>6</v>
      </c>
      <c r="N131">
        <f t="shared" si="39"/>
        <v>6.05</v>
      </c>
      <c r="O131">
        <f t="shared" si="40"/>
        <v>6.05</v>
      </c>
      <c r="P131">
        <f t="shared" si="45"/>
        <v>6.0250000000000004</v>
      </c>
      <c r="Q131">
        <f t="shared" si="46"/>
        <v>0.56375000000000153</v>
      </c>
      <c r="R131">
        <f t="shared" si="41"/>
        <v>-2.6250000000000995E-2</v>
      </c>
      <c r="S131">
        <f t="shared" si="42"/>
        <v>-1.8750000000002487E-2</v>
      </c>
      <c r="T131">
        <f t="shared" si="43"/>
        <v>4.1249999999998899E-2</v>
      </c>
      <c r="U131">
        <f t="shared" si="44"/>
        <v>3.7499999999983658E-3</v>
      </c>
    </row>
    <row r="132" spans="1:21">
      <c r="B132" t="s">
        <v>1048</v>
      </c>
      <c r="C132">
        <f>AVERAGE(C112:C131)</f>
        <v>5.45</v>
      </c>
      <c r="D132">
        <f t="shared" ref="D132" si="47">AVERAGE(D112:D131)</f>
        <v>5.4749999999999996</v>
      </c>
      <c r="E132">
        <f>AVERAGE(E112:E131)</f>
        <v>5.4750000000000014</v>
      </c>
      <c r="F132">
        <f t="shared" ref="F132" si="48">AVERAGE(F112:F131)</f>
        <v>5.4350000000000005</v>
      </c>
      <c r="G132">
        <f>AVERAGE(G112:G131)</f>
        <v>5.4349999999999996</v>
      </c>
      <c r="H132">
        <f t="shared" ref="H132" si="49">AVERAGE(H112:H131)</f>
        <v>5.4550000000000001</v>
      </c>
      <c r="I132">
        <f>AVERAGE(I112:I131)</f>
        <v>5.5150000000000006</v>
      </c>
      <c r="J132">
        <f t="shared" ref="J132" si="50">AVERAGE(J112:J131)</f>
        <v>5.45</v>
      </c>
      <c r="K132" t="s">
        <v>1048</v>
      </c>
      <c r="L132">
        <f>AVERAGE(L112:L131)</f>
        <v>5.4624999999999995</v>
      </c>
      <c r="M132">
        <f t="shared" ref="M132:O132" si="51">AVERAGE(M112:M131)</f>
        <v>5.455000000000001</v>
      </c>
      <c r="N132">
        <f t="shared" si="51"/>
        <v>5.4449999999999994</v>
      </c>
      <c r="O132">
        <f t="shared" si="51"/>
        <v>5.4824999999999999</v>
      </c>
      <c r="P132">
        <f>AVERAGE(L112:O131)</f>
        <v>5.4612499999999988</v>
      </c>
    </row>
    <row r="133" spans="1:21">
      <c r="B133" t="s">
        <v>1049</v>
      </c>
      <c r="D133">
        <f>AVERAGE(C112:D131)</f>
        <v>5.4625000000000004</v>
      </c>
      <c r="F133">
        <f>AVERAGE(E112:F131)</f>
        <v>5.455000000000001</v>
      </c>
      <c r="H133">
        <f>AVERAGE(G112:H131)</f>
        <v>5.4449999999999994</v>
      </c>
      <c r="J133">
        <f>AVERAGE(I112:J131)</f>
        <v>5.4824999999999999</v>
      </c>
      <c r="K133" t="s">
        <v>1050</v>
      </c>
      <c r="L133">
        <f>L132-$P$102</f>
        <v>1.2500000000006395E-3</v>
      </c>
      <c r="M133">
        <f t="shared" ref="M133:O133" si="52">M132-$P$102</f>
        <v>-6.2499999999978684E-3</v>
      </c>
      <c r="N133">
        <f t="shared" si="52"/>
        <v>-1.6249999999999432E-2</v>
      </c>
      <c r="O133">
        <f t="shared" si="52"/>
        <v>2.1250000000001101E-2</v>
      </c>
    </row>
    <row r="134" spans="1:21">
      <c r="B134" t="s">
        <v>1051</v>
      </c>
      <c r="C134">
        <f>C132-$D$133</f>
        <v>-1.2500000000000178E-2</v>
      </c>
      <c r="D134">
        <f>D132-$D$133</f>
        <v>1.2499999999999289E-2</v>
      </c>
      <c r="E134">
        <f>E132-$F$133</f>
        <v>2.0000000000000462E-2</v>
      </c>
      <c r="F134">
        <f>F132-$F$133</f>
        <v>-2.0000000000000462E-2</v>
      </c>
      <c r="G134">
        <f>G132-$H$133</f>
        <v>-9.9999999999997868E-3</v>
      </c>
      <c r="H134">
        <f>H132-$H$133</f>
        <v>1.0000000000000675E-2</v>
      </c>
      <c r="I134">
        <f>I132-$J$133</f>
        <v>3.2500000000000639E-2</v>
      </c>
      <c r="J134">
        <f>J132-$J$133</f>
        <v>-3.2499999999999751E-2</v>
      </c>
    </row>
    <row r="136" spans="1:21">
      <c r="B136" t="s">
        <v>1052</v>
      </c>
      <c r="C136" t="s">
        <v>603</v>
      </c>
      <c r="D136" t="s">
        <v>1053</v>
      </c>
      <c r="E136" t="s">
        <v>1054</v>
      </c>
      <c r="F136" t="s">
        <v>1055</v>
      </c>
      <c r="G136" t="s">
        <v>1056</v>
      </c>
    </row>
    <row r="137" spans="1:21">
      <c r="B137" t="s">
        <v>1057</v>
      </c>
      <c r="C137">
        <v>4</v>
      </c>
      <c r="D137" s="13">
        <f>SUMSQ(C134:J134)*20</f>
        <v>6.8500000000001171E-2</v>
      </c>
      <c r="F137" s="13"/>
    </row>
    <row r="138" spans="1:21">
      <c r="B138" t="s">
        <v>260</v>
      </c>
      <c r="C138">
        <v>19</v>
      </c>
      <c r="D138" s="13">
        <f>SUMSQ(Q112:Q131)*8</f>
        <v>22.954749999999994</v>
      </c>
      <c r="E138" s="13">
        <f>D138/C138</f>
        <v>1.208144736842105</v>
      </c>
      <c r="F138" s="13">
        <f>(E138-E141)/8</f>
        <v>0.15016036184209317</v>
      </c>
      <c r="G138" s="13">
        <f>F138/(F138+F140/4+F141/8)</f>
        <v>0.98838373723212414</v>
      </c>
    </row>
    <row r="139" spans="1:21">
      <c r="B139" t="s">
        <v>1058</v>
      </c>
      <c r="C139">
        <v>3</v>
      </c>
      <c r="D139" s="13">
        <f>SUMSQ(L133:O133)*40</f>
        <v>3.0250000000000131E-2</v>
      </c>
      <c r="E139" s="13">
        <f t="shared" ref="E139:E141" si="53">D139/C139</f>
        <v>1.0083333333333376E-2</v>
      </c>
      <c r="F139">
        <f>(E139-E141)/40</f>
        <v>8.0537280699340933E-5</v>
      </c>
    </row>
    <row r="140" spans="1:21">
      <c r="B140" t="s">
        <v>1059</v>
      </c>
      <c r="C140">
        <f>C138*C139</f>
        <v>57</v>
      </c>
      <c r="D140" s="13">
        <f>SUMSQ(R112:U131)*2</f>
        <v>0.80475000000000008</v>
      </c>
      <c r="E140" s="13">
        <f t="shared" si="53"/>
        <v>1.411842105263158E-2</v>
      </c>
      <c r="F140" s="13">
        <f>(E140-E141)/2</f>
        <v>3.6282894736359207E-3</v>
      </c>
    </row>
    <row r="141" spans="1:21">
      <c r="B141" t="s">
        <v>1060</v>
      </c>
      <c r="C141">
        <f>C142-C137-C138-C139-C140</f>
        <v>76</v>
      </c>
      <c r="D141" s="13">
        <f>D142-D137-D138-D139-D140</f>
        <v>0.5215000000073402</v>
      </c>
      <c r="E141" s="13">
        <f t="shared" si="53"/>
        <v>6.8618421053597391E-3</v>
      </c>
      <c r="F141" s="13">
        <f>E141</f>
        <v>6.8618421053597391E-3</v>
      </c>
    </row>
    <row r="142" spans="1:21">
      <c r="B142" t="s">
        <v>804</v>
      </c>
      <c r="C142">
        <v>159</v>
      </c>
      <c r="D142" s="13">
        <f>SUMSQ(C112:J131)-160*P132^2</f>
        <v>24.379750000007334</v>
      </c>
    </row>
    <row r="144" spans="1:21">
      <c r="A144" s="11" t="s">
        <v>1061</v>
      </c>
      <c r="B144" t="s">
        <v>1802</v>
      </c>
      <c r="C144" t="s">
        <v>1803</v>
      </c>
      <c r="D144" t="s">
        <v>957</v>
      </c>
      <c r="E144" t="s">
        <v>958</v>
      </c>
      <c r="F144" t="s">
        <v>1015</v>
      </c>
      <c r="G144" t="s">
        <v>1804</v>
      </c>
      <c r="H144" t="s">
        <v>1805</v>
      </c>
      <c r="I144" t="s">
        <v>1806</v>
      </c>
      <c r="J144" t="s">
        <v>1807</v>
      </c>
      <c r="K144" t="s">
        <v>1808</v>
      </c>
      <c r="L144" t="s">
        <v>1809</v>
      </c>
      <c r="M144" t="s">
        <v>1811</v>
      </c>
    </row>
    <row r="145" spans="2:13">
      <c r="B145">
        <v>1</v>
      </c>
      <c r="C145">
        <v>761</v>
      </c>
      <c r="D145">
        <v>962</v>
      </c>
      <c r="E145">
        <v>912</v>
      </c>
      <c r="F145">
        <v>955</v>
      </c>
      <c r="G145">
        <v>779</v>
      </c>
      <c r="H145">
        <v>826</v>
      </c>
      <c r="I145">
        <v>1048</v>
      </c>
      <c r="J145">
        <v>416</v>
      </c>
      <c r="K145">
        <v>832.38</v>
      </c>
      <c r="L145">
        <v>1.03</v>
      </c>
      <c r="M145" t="s">
        <v>1810</v>
      </c>
    </row>
    <row r="146" spans="2:13">
      <c r="B146">
        <v>2</v>
      </c>
      <c r="C146">
        <v>869</v>
      </c>
      <c r="D146">
        <v>877</v>
      </c>
      <c r="E146">
        <v>1020</v>
      </c>
      <c r="F146">
        <v>914</v>
      </c>
      <c r="G146">
        <v>719</v>
      </c>
      <c r="H146">
        <v>671</v>
      </c>
      <c r="I146">
        <v>986</v>
      </c>
      <c r="J146">
        <v>405</v>
      </c>
      <c r="K146">
        <v>807.63</v>
      </c>
      <c r="L146">
        <v>0.99</v>
      </c>
      <c r="M146" t="s">
        <v>1810</v>
      </c>
    </row>
    <row r="147" spans="2:13">
      <c r="B147">
        <v>3</v>
      </c>
      <c r="C147">
        <v>657</v>
      </c>
      <c r="D147">
        <v>875</v>
      </c>
      <c r="E147">
        <v>924</v>
      </c>
      <c r="F147">
        <v>905</v>
      </c>
      <c r="G147">
        <v>654</v>
      </c>
      <c r="H147">
        <v>783</v>
      </c>
      <c r="I147">
        <v>909</v>
      </c>
      <c r="J147">
        <v>384</v>
      </c>
      <c r="K147">
        <v>761.38</v>
      </c>
      <c r="L147">
        <v>1.01</v>
      </c>
      <c r="M147" t="s">
        <v>1810</v>
      </c>
    </row>
    <row r="148" spans="2:13">
      <c r="B148">
        <v>4</v>
      </c>
      <c r="C148">
        <v>696</v>
      </c>
      <c r="D148">
        <v>932</v>
      </c>
      <c r="E148">
        <v>983</v>
      </c>
      <c r="F148">
        <v>962</v>
      </c>
      <c r="G148">
        <v>829</v>
      </c>
      <c r="H148">
        <v>825</v>
      </c>
      <c r="I148">
        <v>997</v>
      </c>
      <c r="J148">
        <v>405</v>
      </c>
      <c r="K148">
        <v>828.63</v>
      </c>
      <c r="L148">
        <v>1.05</v>
      </c>
      <c r="M148" t="s">
        <v>1810</v>
      </c>
    </row>
    <row r="149" spans="2:13">
      <c r="B149">
        <v>5</v>
      </c>
      <c r="C149">
        <v>603</v>
      </c>
      <c r="D149">
        <v>920</v>
      </c>
      <c r="E149">
        <v>788</v>
      </c>
      <c r="F149">
        <v>881</v>
      </c>
      <c r="G149">
        <v>671</v>
      </c>
      <c r="H149">
        <v>866</v>
      </c>
      <c r="I149">
        <v>989</v>
      </c>
      <c r="J149">
        <v>526</v>
      </c>
      <c r="K149">
        <v>780.5</v>
      </c>
      <c r="L149">
        <v>0.78</v>
      </c>
      <c r="M149" t="s">
        <v>1812</v>
      </c>
    </row>
    <row r="150" spans="2:13">
      <c r="B150">
        <v>6</v>
      </c>
      <c r="C150">
        <v>741</v>
      </c>
      <c r="D150">
        <v>921</v>
      </c>
      <c r="E150">
        <v>992</v>
      </c>
      <c r="F150">
        <v>1018</v>
      </c>
      <c r="G150">
        <v>744</v>
      </c>
      <c r="H150">
        <v>889</v>
      </c>
      <c r="I150">
        <v>863</v>
      </c>
      <c r="J150">
        <v>376</v>
      </c>
      <c r="K150">
        <v>818</v>
      </c>
      <c r="L150">
        <v>1.04</v>
      </c>
      <c r="M150" t="s">
        <v>1810</v>
      </c>
    </row>
    <row r="151" spans="2:13">
      <c r="B151">
        <v>7</v>
      </c>
      <c r="C151">
        <v>686</v>
      </c>
      <c r="D151">
        <v>905</v>
      </c>
      <c r="E151">
        <v>1029</v>
      </c>
      <c r="F151">
        <v>979</v>
      </c>
      <c r="G151">
        <v>800</v>
      </c>
      <c r="H151">
        <v>881</v>
      </c>
      <c r="I151">
        <v>858</v>
      </c>
      <c r="J151">
        <v>463</v>
      </c>
      <c r="K151">
        <v>825.13</v>
      </c>
      <c r="L151">
        <v>0.9</v>
      </c>
      <c r="M151" t="s">
        <v>1812</v>
      </c>
    </row>
    <row r="152" spans="2:13">
      <c r="B152">
        <v>8</v>
      </c>
      <c r="C152">
        <v>776</v>
      </c>
      <c r="D152">
        <v>1030</v>
      </c>
      <c r="E152">
        <v>1003</v>
      </c>
      <c r="F152">
        <v>972</v>
      </c>
      <c r="G152">
        <v>783</v>
      </c>
      <c r="H152">
        <v>877</v>
      </c>
      <c r="I152">
        <v>1053</v>
      </c>
      <c r="J152">
        <v>498</v>
      </c>
      <c r="K152">
        <v>874</v>
      </c>
      <c r="L152">
        <v>0.99</v>
      </c>
      <c r="M152" t="s">
        <v>1810</v>
      </c>
    </row>
    <row r="153" spans="2:13">
      <c r="B153">
        <v>9</v>
      </c>
      <c r="C153">
        <v>819</v>
      </c>
      <c r="D153">
        <v>863</v>
      </c>
      <c r="E153">
        <v>1047</v>
      </c>
      <c r="F153">
        <v>939</v>
      </c>
      <c r="G153">
        <v>729</v>
      </c>
      <c r="H153">
        <v>699</v>
      </c>
      <c r="I153">
        <v>1064</v>
      </c>
      <c r="J153">
        <v>477</v>
      </c>
      <c r="K153">
        <v>829.63</v>
      </c>
      <c r="L153">
        <v>0.98</v>
      </c>
      <c r="M153" t="s">
        <v>1810</v>
      </c>
    </row>
    <row r="154" spans="2:13">
      <c r="B154">
        <v>10</v>
      </c>
      <c r="C154">
        <v>481</v>
      </c>
      <c r="D154">
        <v>814</v>
      </c>
      <c r="E154">
        <v>845</v>
      </c>
      <c r="F154">
        <v>697</v>
      </c>
      <c r="G154">
        <v>487</v>
      </c>
      <c r="H154">
        <v>702</v>
      </c>
      <c r="I154">
        <v>954</v>
      </c>
      <c r="J154">
        <v>277</v>
      </c>
      <c r="K154">
        <v>657.13</v>
      </c>
      <c r="L154">
        <v>1.1599999999999999</v>
      </c>
      <c r="M154" t="s">
        <v>1813</v>
      </c>
    </row>
    <row r="155" spans="2:13">
      <c r="B155">
        <v>11</v>
      </c>
      <c r="C155">
        <v>384</v>
      </c>
      <c r="D155">
        <v>542</v>
      </c>
      <c r="E155">
        <v>837</v>
      </c>
      <c r="F155">
        <v>702</v>
      </c>
      <c r="G155">
        <v>517</v>
      </c>
      <c r="H155">
        <v>573</v>
      </c>
      <c r="I155">
        <v>776</v>
      </c>
      <c r="J155">
        <v>266</v>
      </c>
      <c r="K155">
        <v>574.63</v>
      </c>
      <c r="L155">
        <v>0.96</v>
      </c>
      <c r="M155" t="s">
        <v>1810</v>
      </c>
    </row>
    <row r="156" spans="2:13">
      <c r="B156">
        <v>12</v>
      </c>
      <c r="C156">
        <v>756</v>
      </c>
      <c r="D156">
        <v>937</v>
      </c>
      <c r="E156">
        <v>1138</v>
      </c>
      <c r="F156">
        <v>1004</v>
      </c>
      <c r="G156">
        <v>739</v>
      </c>
      <c r="H156">
        <v>945</v>
      </c>
      <c r="I156">
        <v>932</v>
      </c>
      <c r="J156">
        <v>401</v>
      </c>
      <c r="K156">
        <v>856.5</v>
      </c>
      <c r="L156">
        <v>1.1499999999999999</v>
      </c>
      <c r="M156" t="s">
        <v>1813</v>
      </c>
    </row>
    <row r="157" spans="2:13">
      <c r="B157">
        <v>13</v>
      </c>
      <c r="C157">
        <v>745</v>
      </c>
      <c r="D157">
        <v>817</v>
      </c>
      <c r="E157">
        <v>893</v>
      </c>
      <c r="F157">
        <v>938</v>
      </c>
      <c r="G157">
        <v>646</v>
      </c>
      <c r="H157">
        <v>897</v>
      </c>
      <c r="I157">
        <v>1165</v>
      </c>
      <c r="J157">
        <v>402</v>
      </c>
      <c r="K157">
        <v>812.88</v>
      </c>
      <c r="L157">
        <v>1.1200000000000001</v>
      </c>
      <c r="M157" t="s">
        <v>1813</v>
      </c>
    </row>
    <row r="158" spans="2:13">
      <c r="B158">
        <v>14</v>
      </c>
      <c r="C158">
        <v>791</v>
      </c>
      <c r="D158">
        <v>947</v>
      </c>
      <c r="E158">
        <v>923</v>
      </c>
      <c r="F158">
        <v>831</v>
      </c>
      <c r="G158">
        <v>781</v>
      </c>
      <c r="H158">
        <v>785</v>
      </c>
      <c r="I158">
        <v>992</v>
      </c>
      <c r="J158">
        <v>455</v>
      </c>
      <c r="K158">
        <v>813.13</v>
      </c>
      <c r="L158">
        <v>0.85</v>
      </c>
      <c r="M158" t="s">
        <v>1812</v>
      </c>
    </row>
    <row r="159" spans="2:13">
      <c r="B159" t="s">
        <v>1801</v>
      </c>
      <c r="C159">
        <v>697.5</v>
      </c>
      <c r="D159">
        <v>881.6</v>
      </c>
      <c r="E159">
        <v>952.4</v>
      </c>
      <c r="F159">
        <v>906.9</v>
      </c>
      <c r="G159">
        <v>705.6</v>
      </c>
      <c r="H159">
        <v>801.4</v>
      </c>
      <c r="I159">
        <v>970.4</v>
      </c>
      <c r="J159">
        <v>410.8</v>
      </c>
    </row>
    <row r="161" spans="1:10">
      <c r="A161" s="11" t="s">
        <v>1062</v>
      </c>
      <c r="B161" t="s">
        <v>134</v>
      </c>
      <c r="C161" t="s">
        <v>1814</v>
      </c>
      <c r="D161" t="s">
        <v>1815</v>
      </c>
      <c r="E161" t="s">
        <v>1816</v>
      </c>
      <c r="F161" t="s">
        <v>1817</v>
      </c>
      <c r="G161" t="s">
        <v>1818</v>
      </c>
      <c r="H161" t="s">
        <v>1819</v>
      </c>
      <c r="I161" t="s">
        <v>1820</v>
      </c>
      <c r="J161" t="s">
        <v>1821</v>
      </c>
    </row>
    <row r="162" spans="1:10">
      <c r="B162" t="s">
        <v>1822</v>
      </c>
      <c r="C162">
        <v>87</v>
      </c>
      <c r="D162">
        <v>75.75</v>
      </c>
      <c r="E162">
        <v>77.25</v>
      </c>
      <c r="F162">
        <v>70</v>
      </c>
      <c r="G162">
        <v>86.87</v>
      </c>
      <c r="H162">
        <v>81.25</v>
      </c>
      <c r="I162">
        <v>99.12</v>
      </c>
      <c r="J162">
        <v>101.75</v>
      </c>
    </row>
    <row r="163" spans="1:10">
      <c r="B163" t="s">
        <v>1823</v>
      </c>
      <c r="C163">
        <v>106.5</v>
      </c>
      <c r="D163">
        <v>96.37</v>
      </c>
      <c r="E163">
        <v>98.87</v>
      </c>
      <c r="F163">
        <v>93.75</v>
      </c>
      <c r="G163">
        <v>112.62</v>
      </c>
      <c r="H163">
        <v>99.62</v>
      </c>
      <c r="I163">
        <v>113.12</v>
      </c>
      <c r="J163">
        <v>120.62</v>
      </c>
    </row>
    <row r="164" spans="1:10">
      <c r="B164" t="s">
        <v>1824</v>
      </c>
      <c r="C164">
        <v>106.87</v>
      </c>
      <c r="D164">
        <v>101.62</v>
      </c>
      <c r="E164">
        <v>94.37</v>
      </c>
      <c r="F164">
        <v>90</v>
      </c>
      <c r="G164">
        <v>100.62</v>
      </c>
      <c r="H164">
        <v>87.25</v>
      </c>
      <c r="I164">
        <v>113.87</v>
      </c>
      <c r="J164">
        <v>120.25</v>
      </c>
    </row>
    <row r="165" spans="1:10">
      <c r="B165" t="s">
        <v>1825</v>
      </c>
      <c r="C165">
        <v>109.37</v>
      </c>
      <c r="D165">
        <v>96.25</v>
      </c>
      <c r="E165">
        <v>108.37</v>
      </c>
      <c r="F165">
        <v>85.62</v>
      </c>
      <c r="G165">
        <v>110.12</v>
      </c>
      <c r="H165">
        <v>95.12</v>
      </c>
      <c r="I165">
        <v>121.12</v>
      </c>
      <c r="J165">
        <v>124</v>
      </c>
    </row>
    <row r="166" spans="1:10">
      <c r="B166" t="s">
        <v>1826</v>
      </c>
      <c r="C166">
        <v>114.75</v>
      </c>
      <c r="D166">
        <v>106.75</v>
      </c>
      <c r="E166">
        <v>107.37</v>
      </c>
      <c r="F166">
        <v>94</v>
      </c>
      <c r="G166">
        <v>128.5</v>
      </c>
      <c r="H166">
        <v>111.12</v>
      </c>
      <c r="I166">
        <v>127.12</v>
      </c>
      <c r="J166">
        <v>122.75</v>
      </c>
    </row>
    <row r="167" spans="1:10">
      <c r="B167" t="s">
        <v>1827</v>
      </c>
      <c r="C167">
        <v>130.62</v>
      </c>
      <c r="D167">
        <v>118.12</v>
      </c>
      <c r="E167">
        <v>118.5</v>
      </c>
      <c r="F167">
        <v>115.25</v>
      </c>
      <c r="G167">
        <v>132</v>
      </c>
      <c r="H167">
        <v>124.37</v>
      </c>
      <c r="I167">
        <v>131</v>
      </c>
      <c r="J167">
        <v>125.25</v>
      </c>
    </row>
    <row r="168" spans="1:10">
      <c r="B168" t="s">
        <v>1828</v>
      </c>
      <c r="C168">
        <v>132.25</v>
      </c>
      <c r="D168">
        <v>112.62</v>
      </c>
      <c r="E168">
        <v>121.5</v>
      </c>
      <c r="F168">
        <v>101.5</v>
      </c>
      <c r="G168">
        <v>148</v>
      </c>
      <c r="H168">
        <v>133</v>
      </c>
      <c r="I168">
        <v>143.25</v>
      </c>
      <c r="J168">
        <v>139.62</v>
      </c>
    </row>
    <row r="169" spans="1:10">
      <c r="B169" t="s">
        <v>1829</v>
      </c>
      <c r="C169">
        <v>127.75</v>
      </c>
      <c r="D169">
        <v>120</v>
      </c>
      <c r="E169">
        <v>128</v>
      </c>
      <c r="F169">
        <v>117.37</v>
      </c>
      <c r="G169">
        <v>149.85</v>
      </c>
      <c r="H169">
        <v>135.12</v>
      </c>
      <c r="I169">
        <v>144.87</v>
      </c>
      <c r="J169">
        <v>142.37</v>
      </c>
    </row>
    <row r="170" spans="1:10">
      <c r="B170" t="s">
        <v>1830</v>
      </c>
      <c r="C170">
        <v>130.75</v>
      </c>
      <c r="D170">
        <v>116.62</v>
      </c>
      <c r="E170">
        <v>126</v>
      </c>
      <c r="F170">
        <v>111.62</v>
      </c>
      <c r="G170">
        <v>144.62</v>
      </c>
      <c r="H170">
        <v>130.25</v>
      </c>
      <c r="I170">
        <v>148.25</v>
      </c>
      <c r="J170">
        <v>136.87</v>
      </c>
    </row>
    <row r="171" spans="1:10">
      <c r="B171" t="s">
        <v>1831</v>
      </c>
      <c r="C171">
        <v>149.87</v>
      </c>
      <c r="D171">
        <v>135</v>
      </c>
      <c r="E171">
        <v>137.37</v>
      </c>
      <c r="F171">
        <v>119.25</v>
      </c>
      <c r="G171">
        <v>159.25</v>
      </c>
      <c r="H171">
        <v>148.12</v>
      </c>
      <c r="I171">
        <v>149.25</v>
      </c>
      <c r="J171">
        <v>155.62</v>
      </c>
    </row>
    <row r="173" spans="1:10">
      <c r="B173" t="s">
        <v>1832</v>
      </c>
      <c r="C173" t="s">
        <v>1833</v>
      </c>
      <c r="D173" t="s">
        <v>1834</v>
      </c>
      <c r="E173" t="s">
        <v>1835</v>
      </c>
      <c r="F173" t="s">
        <v>1836</v>
      </c>
      <c r="G173" t="s">
        <v>1837</v>
      </c>
    </row>
    <row r="174" spans="1:10">
      <c r="B174" t="s">
        <v>1838</v>
      </c>
      <c r="C174" t="s">
        <v>1839</v>
      </c>
      <c r="D174" t="s">
        <v>1840</v>
      </c>
      <c r="E174">
        <v>84.873699999999999</v>
      </c>
      <c r="F174">
        <v>-7.3933999999999997</v>
      </c>
      <c r="G174">
        <v>-1.3703000000000001</v>
      </c>
    </row>
    <row r="175" spans="1:10">
      <c r="B175" t="s">
        <v>1838</v>
      </c>
      <c r="C175" t="s">
        <v>1839</v>
      </c>
      <c r="D175" t="s">
        <v>1841</v>
      </c>
      <c r="E175">
        <v>105.1837</v>
      </c>
      <c r="F175">
        <v>-2.8096000000000001</v>
      </c>
      <c r="G175">
        <v>0.50149999999999995</v>
      </c>
    </row>
    <row r="176" spans="1:10">
      <c r="B176" t="s">
        <v>1838</v>
      </c>
      <c r="C176" t="s">
        <v>1839</v>
      </c>
      <c r="D176" t="s">
        <v>1842</v>
      </c>
      <c r="E176">
        <v>101.8562</v>
      </c>
      <c r="F176">
        <v>-3.7465999999999999</v>
      </c>
      <c r="G176">
        <v>2.3043999999999998</v>
      </c>
    </row>
    <row r="177" spans="2:7">
      <c r="B177" t="s">
        <v>1838</v>
      </c>
      <c r="C177" t="s">
        <v>1839</v>
      </c>
      <c r="D177" t="s">
        <v>1843</v>
      </c>
      <c r="E177">
        <v>106.2462</v>
      </c>
      <c r="F177">
        <v>-2.6254</v>
      </c>
      <c r="G177">
        <v>-0.41860000000000003</v>
      </c>
    </row>
    <row r="178" spans="2:7">
      <c r="B178" t="s">
        <v>1838</v>
      </c>
      <c r="C178" t="s">
        <v>1839</v>
      </c>
      <c r="D178" t="s">
        <v>1844</v>
      </c>
      <c r="E178">
        <v>114.045</v>
      </c>
      <c r="F178">
        <v>-0.68300000000000005</v>
      </c>
      <c r="G178">
        <v>-0.82889999999999997</v>
      </c>
    </row>
    <row r="179" spans="2:7">
      <c r="B179" t="s">
        <v>1838</v>
      </c>
      <c r="C179" t="s">
        <v>1839</v>
      </c>
      <c r="D179" t="s">
        <v>1845</v>
      </c>
      <c r="E179">
        <v>124.3887</v>
      </c>
      <c r="F179">
        <v>1.5939000000000001</v>
      </c>
      <c r="G179">
        <v>2.5893000000000002</v>
      </c>
    </row>
    <row r="180" spans="2:7">
      <c r="B180" t="s">
        <v>1838</v>
      </c>
      <c r="C180" t="s">
        <v>1839</v>
      </c>
      <c r="D180" t="s">
        <v>1846</v>
      </c>
      <c r="E180">
        <v>128.9675</v>
      </c>
      <c r="F180">
        <v>2.7953000000000001</v>
      </c>
      <c r="G180">
        <v>-2.4849999999999999</v>
      </c>
    </row>
    <row r="181" spans="2:7">
      <c r="B181" t="s">
        <v>1838</v>
      </c>
      <c r="C181" t="s">
        <v>1839</v>
      </c>
      <c r="D181" t="s">
        <v>1847</v>
      </c>
      <c r="E181">
        <v>133.1662</v>
      </c>
      <c r="F181">
        <v>3.6545000000000001</v>
      </c>
      <c r="G181">
        <v>-0.3216</v>
      </c>
    </row>
    <row r="182" spans="2:7">
      <c r="B182" t="s">
        <v>1838</v>
      </c>
      <c r="C182" t="s">
        <v>1839</v>
      </c>
      <c r="D182" t="s">
        <v>1848</v>
      </c>
      <c r="E182">
        <v>130.6225</v>
      </c>
      <c r="F182">
        <v>3.0653000000000001</v>
      </c>
      <c r="G182">
        <v>-0.66859999999999997</v>
      </c>
    </row>
    <row r="183" spans="2:7">
      <c r="B183" t="s">
        <v>1838</v>
      </c>
      <c r="C183" t="s">
        <v>1839</v>
      </c>
      <c r="D183" t="s">
        <v>1849</v>
      </c>
      <c r="E183">
        <v>144.21619999999999</v>
      </c>
      <c r="F183">
        <v>6.149</v>
      </c>
      <c r="G183">
        <v>0.69769999999999999</v>
      </c>
    </row>
    <row r="184" spans="2:7">
      <c r="B184" t="s">
        <v>1838</v>
      </c>
      <c r="C184" t="s">
        <v>1839</v>
      </c>
      <c r="D184" t="s">
        <v>1008</v>
      </c>
      <c r="E184">
        <v>119.57299999999999</v>
      </c>
      <c r="F184">
        <v>4.2534000000000001</v>
      </c>
      <c r="G184">
        <v>1.1347</v>
      </c>
    </row>
    <row r="185" spans="2:7">
      <c r="B185" t="s">
        <v>1838</v>
      </c>
      <c r="C185" t="s">
        <v>1839</v>
      </c>
      <c r="D185" t="s">
        <v>957</v>
      </c>
      <c r="E185">
        <v>107.91</v>
      </c>
      <c r="F185">
        <v>3.823</v>
      </c>
      <c r="G185">
        <v>2.4102000000000001</v>
      </c>
    </row>
    <row r="186" spans="2:7">
      <c r="B186" t="s">
        <v>1838</v>
      </c>
      <c r="C186" t="s">
        <v>1839</v>
      </c>
      <c r="D186" t="s">
        <v>958</v>
      </c>
      <c r="E186">
        <v>111.76</v>
      </c>
      <c r="F186">
        <v>4.306</v>
      </c>
      <c r="G186">
        <v>9.8199999999999996E-2</v>
      </c>
    </row>
    <row r="187" spans="2:7">
      <c r="B187" t="s">
        <v>1838</v>
      </c>
      <c r="C187" t="s">
        <v>1839</v>
      </c>
      <c r="D187" t="s">
        <v>1015</v>
      </c>
      <c r="E187">
        <v>99.835999999999999</v>
      </c>
      <c r="F187">
        <v>3.6459999999999999</v>
      </c>
      <c r="G187">
        <v>2.7795999999999998</v>
      </c>
    </row>
    <row r="188" spans="2:7">
      <c r="B188" t="s">
        <v>1838</v>
      </c>
      <c r="C188" t="s">
        <v>1839</v>
      </c>
      <c r="D188" t="s">
        <v>1804</v>
      </c>
      <c r="E188">
        <v>127.245</v>
      </c>
      <c r="F188">
        <v>5.6933999999999996</v>
      </c>
      <c r="G188">
        <v>-1.9378</v>
      </c>
    </row>
    <row r="189" spans="2:7">
      <c r="B189" t="s">
        <v>1838</v>
      </c>
      <c r="C189" t="s">
        <v>1839</v>
      </c>
      <c r="D189" t="s">
        <v>1805</v>
      </c>
      <c r="E189">
        <v>114.52200000000001</v>
      </c>
      <c r="F189">
        <v>5.4287000000000001</v>
      </c>
      <c r="G189">
        <v>-1.2557</v>
      </c>
    </row>
    <row r="190" spans="2:7">
      <c r="B190" t="s">
        <v>1838</v>
      </c>
      <c r="C190" t="s">
        <v>1839</v>
      </c>
      <c r="D190" t="s">
        <v>1806</v>
      </c>
      <c r="E190">
        <v>129.09700000000001</v>
      </c>
      <c r="F190">
        <v>4.0598000000000001</v>
      </c>
      <c r="G190">
        <v>-1.4</v>
      </c>
    </row>
    <row r="191" spans="2:7">
      <c r="B191" t="s">
        <v>1838</v>
      </c>
      <c r="C191" t="s">
        <v>1839</v>
      </c>
      <c r="D191" t="s">
        <v>1807</v>
      </c>
      <c r="E191">
        <v>128.91</v>
      </c>
      <c r="F191">
        <v>3.4582999999999999</v>
      </c>
      <c r="G191">
        <v>-0.30790000000000001</v>
      </c>
    </row>
    <row r="192" spans="2:7">
      <c r="B192" t="s">
        <v>1838</v>
      </c>
      <c r="C192" t="s">
        <v>1839</v>
      </c>
      <c r="D192" t="s">
        <v>1850</v>
      </c>
      <c r="E192">
        <v>117.3566</v>
      </c>
      <c r="F192">
        <v>0.95309999999999995</v>
      </c>
      <c r="G192">
        <v>1.9599999999999999E-2</v>
      </c>
    </row>
    <row r="194" spans="2:7">
      <c r="B194" t="s">
        <v>1832</v>
      </c>
      <c r="C194" t="s">
        <v>1833</v>
      </c>
      <c r="D194" t="s">
        <v>1834</v>
      </c>
      <c r="E194" t="s">
        <v>1835</v>
      </c>
      <c r="F194" t="s">
        <v>1836</v>
      </c>
      <c r="G194" t="s">
        <v>1837</v>
      </c>
    </row>
    <row r="195" spans="2:7">
      <c r="B195" t="s">
        <v>1838</v>
      </c>
      <c r="C195" t="s">
        <v>1851</v>
      </c>
      <c r="D195" t="s">
        <v>1840</v>
      </c>
      <c r="E195">
        <v>84.873699999999999</v>
      </c>
      <c r="F195">
        <v>-1.3789</v>
      </c>
      <c r="G195">
        <v>-0.4677</v>
      </c>
    </row>
    <row r="196" spans="2:7">
      <c r="B196" t="s">
        <v>1838</v>
      </c>
      <c r="C196" t="s">
        <v>1851</v>
      </c>
      <c r="D196" t="s">
        <v>1841</v>
      </c>
      <c r="E196">
        <v>105.1837</v>
      </c>
      <c r="F196">
        <v>-1.1254</v>
      </c>
      <c r="G196">
        <v>0.56630000000000003</v>
      </c>
    </row>
    <row r="197" spans="2:7">
      <c r="B197" t="s">
        <v>1838</v>
      </c>
      <c r="C197" t="s">
        <v>1851</v>
      </c>
      <c r="D197" t="s">
        <v>1842</v>
      </c>
      <c r="E197">
        <v>101.8562</v>
      </c>
      <c r="F197">
        <v>-3.5701000000000001</v>
      </c>
      <c r="G197">
        <v>-9.9299999999999999E-2</v>
      </c>
    </row>
    <row r="198" spans="2:7">
      <c r="B198" t="s">
        <v>1838</v>
      </c>
      <c r="C198" t="s">
        <v>1851</v>
      </c>
      <c r="D198" t="s">
        <v>1843</v>
      </c>
      <c r="E198">
        <v>106.2462</v>
      </c>
      <c r="F198">
        <v>-1.5933999999999999</v>
      </c>
      <c r="G198">
        <v>-2.2477999999999998</v>
      </c>
    </row>
    <row r="199" spans="2:7">
      <c r="B199" t="s">
        <v>1838</v>
      </c>
      <c r="C199" t="s">
        <v>1851</v>
      </c>
      <c r="D199" t="s">
        <v>1844</v>
      </c>
      <c r="E199">
        <v>114.045</v>
      </c>
      <c r="F199">
        <v>0.70589999999999997</v>
      </c>
      <c r="G199">
        <v>2.12E-2</v>
      </c>
    </row>
    <row r="200" spans="2:7">
      <c r="B200" t="s">
        <v>1838</v>
      </c>
      <c r="C200" t="s">
        <v>1851</v>
      </c>
      <c r="D200" t="s">
        <v>1845</v>
      </c>
      <c r="E200">
        <v>124.3887</v>
      </c>
      <c r="F200">
        <v>-0.16539999999999999</v>
      </c>
      <c r="G200">
        <v>3.4142000000000001</v>
      </c>
    </row>
    <row r="201" spans="2:7">
      <c r="B201" t="s">
        <v>1838</v>
      </c>
      <c r="C201" t="s">
        <v>1851</v>
      </c>
      <c r="D201" t="s">
        <v>1846</v>
      </c>
      <c r="E201">
        <v>128.9675</v>
      </c>
      <c r="F201">
        <v>2.673</v>
      </c>
      <c r="G201">
        <v>-1.4198999999999999</v>
      </c>
    </row>
    <row r="202" spans="2:7">
      <c r="B202" t="s">
        <v>1838</v>
      </c>
      <c r="C202" t="s">
        <v>1851</v>
      </c>
      <c r="D202" t="s">
        <v>1847</v>
      </c>
      <c r="E202">
        <v>133.1662</v>
      </c>
      <c r="F202">
        <v>1.5331999999999999</v>
      </c>
      <c r="G202">
        <v>0.41649999999999998</v>
      </c>
    </row>
    <row r="203" spans="2:7">
      <c r="B203" t="s">
        <v>1838</v>
      </c>
      <c r="C203" t="s">
        <v>1851</v>
      </c>
      <c r="D203" t="s">
        <v>1848</v>
      </c>
      <c r="E203">
        <v>130.6225</v>
      </c>
      <c r="F203">
        <v>1.3494999999999999</v>
      </c>
      <c r="G203">
        <v>-0.23019999999999999</v>
      </c>
    </row>
    <row r="204" spans="2:7">
      <c r="B204" t="s">
        <v>1838</v>
      </c>
      <c r="C204" t="s">
        <v>1851</v>
      </c>
      <c r="D204" t="s">
        <v>1849</v>
      </c>
      <c r="E204">
        <v>144.21619999999999</v>
      </c>
      <c r="F204">
        <v>1.5717000000000001</v>
      </c>
      <c r="G204">
        <v>4.6800000000000001E-2</v>
      </c>
    </row>
    <row r="205" spans="2:7">
      <c r="B205" t="s">
        <v>1838</v>
      </c>
      <c r="C205" t="s">
        <v>1851</v>
      </c>
      <c r="D205" t="s">
        <v>1008</v>
      </c>
      <c r="E205">
        <v>119.57299999999999</v>
      </c>
      <c r="F205">
        <v>-0.55840000000000001</v>
      </c>
      <c r="G205">
        <v>0.35070000000000001</v>
      </c>
    </row>
    <row r="206" spans="2:7">
      <c r="B206" t="s">
        <v>1838</v>
      </c>
      <c r="C206" t="s">
        <v>1851</v>
      </c>
      <c r="D206" t="s">
        <v>957</v>
      </c>
      <c r="E206">
        <v>107.91</v>
      </c>
      <c r="F206">
        <v>-1.8955</v>
      </c>
      <c r="G206">
        <v>1.0629999999999999</v>
      </c>
    </row>
    <row r="207" spans="2:7">
      <c r="B207" t="s">
        <v>1838</v>
      </c>
      <c r="C207" t="s">
        <v>1851</v>
      </c>
      <c r="D207" t="s">
        <v>958</v>
      </c>
      <c r="E207">
        <v>111.76</v>
      </c>
      <c r="F207">
        <v>-0.23369999999999999</v>
      </c>
      <c r="G207">
        <v>-0.77370000000000005</v>
      </c>
    </row>
    <row r="208" spans="2:7">
      <c r="B208" t="s">
        <v>1838</v>
      </c>
      <c r="C208" t="s">
        <v>1851</v>
      </c>
      <c r="D208" t="s">
        <v>1015</v>
      </c>
      <c r="E208">
        <v>99.835999999999999</v>
      </c>
      <c r="F208">
        <v>-2.0323000000000002</v>
      </c>
      <c r="G208">
        <v>2.6675</v>
      </c>
    </row>
    <row r="209" spans="2:7">
      <c r="B209" t="s">
        <v>1838</v>
      </c>
      <c r="C209" t="s">
        <v>1851</v>
      </c>
      <c r="D209" t="s">
        <v>1804</v>
      </c>
      <c r="E209">
        <v>127.245</v>
      </c>
      <c r="F209">
        <v>3.5108999999999999</v>
      </c>
      <c r="G209">
        <v>-8.2600000000000007E-2</v>
      </c>
    </row>
    <row r="210" spans="2:7">
      <c r="B210" t="s">
        <v>1838</v>
      </c>
      <c r="C210" t="s">
        <v>1851</v>
      </c>
      <c r="D210" t="s">
        <v>1805</v>
      </c>
      <c r="E210">
        <v>114.52200000000001</v>
      </c>
      <c r="F210">
        <v>3.0055999999999998</v>
      </c>
      <c r="G210">
        <v>1.0374000000000001</v>
      </c>
    </row>
    <row r="211" spans="2:7">
      <c r="B211" t="s">
        <v>1838</v>
      </c>
      <c r="C211" t="s">
        <v>1851</v>
      </c>
      <c r="D211" t="s">
        <v>1806</v>
      </c>
      <c r="E211">
        <v>129.09700000000001</v>
      </c>
      <c r="F211">
        <v>2.41E-2</v>
      </c>
      <c r="G211">
        <v>-1.7009000000000001</v>
      </c>
    </row>
    <row r="212" spans="2:7">
      <c r="B212" t="s">
        <v>1838</v>
      </c>
      <c r="C212" t="s">
        <v>1851</v>
      </c>
      <c r="D212" t="s">
        <v>1807</v>
      </c>
      <c r="E212">
        <v>128.91</v>
      </c>
      <c r="F212">
        <v>-1.8208</v>
      </c>
      <c r="G212">
        <v>-2.5613999999999999</v>
      </c>
    </row>
    <row r="213" spans="2:7">
      <c r="B213" t="s">
        <v>1838</v>
      </c>
      <c r="C213" t="s">
        <v>1851</v>
      </c>
      <c r="D213" t="s">
        <v>1850</v>
      </c>
      <c r="E213">
        <v>117.3566</v>
      </c>
      <c r="F213">
        <v>0.56920000000000004</v>
      </c>
      <c r="G213">
        <v>0.20169999999999999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1章</vt:lpstr>
      <vt:lpstr>2章</vt:lpstr>
      <vt:lpstr>3章</vt:lpstr>
      <vt:lpstr>4章</vt:lpstr>
      <vt:lpstr>5章</vt:lpstr>
      <vt:lpstr>6章</vt:lpstr>
      <vt:lpstr>7章</vt:lpstr>
      <vt:lpstr>8章</vt:lpstr>
      <vt:lpstr>9章</vt:lpstr>
      <vt:lpstr>10章</vt:lpstr>
      <vt:lpstr>11章</vt:lpstr>
      <vt:lpstr>12章</vt:lpstr>
      <vt:lpstr>13章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2019-11-25T07:13:38Z</dcterms:modified>
</cp:coreProperties>
</file>